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USEUM-SRV2\museum\2_資料・図書管理（収蔵・展示）\1_標本データベース化関係\デジタルアーカイブ関連\公開用\"/>
    </mc:Choice>
  </mc:AlternateContent>
  <xr:revisionPtr revIDLastSave="0" documentId="13_ncr:1_{A21133CB-EEC1-481D-9D99-2BBAC284911E}" xr6:coauthVersionLast="36" xr6:coauthVersionMax="47" xr10:uidLastSave="{00000000-0000-0000-0000-000000000000}"/>
  <bookViews>
    <workbookView xWindow="-15" yWindow="-15" windowWidth="14400" windowHeight="15510" xr2:uid="{F12E07F1-05A9-4E43-A34E-AE64088A10DF}"/>
  </bookViews>
  <sheets>
    <sheet name="哺乳類" sheetId="3" r:id="rId1"/>
    <sheet name="鳥類" sheetId="4" r:id="rId2"/>
    <sheet name="爬虫類" sheetId="5" r:id="rId3"/>
    <sheet name="両生類" sheetId="6" r:id="rId4"/>
    <sheet name="魚類" sheetId="7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4" hidden="1">魚類!$B$1:$I$62</definedName>
    <definedName name="_xlnm._FilterDatabase" localSheetId="1" hidden="1">鳥類!$A$1:$I$109</definedName>
    <definedName name="_xlnm._FilterDatabase" localSheetId="3" hidden="1">両生類!$B$1:$I$14</definedName>
    <definedName name="_xlnm._FilterDatabase" localSheetId="0" hidden="1">哺乳類!$A$1:$I$118</definedName>
    <definedName name="_xlnm._FilterDatabase" localSheetId="2" hidden="1">爬虫類!$B$1:$I$28</definedName>
    <definedName name="_xlnm.Print_Titles" localSheetId="4">魚類!$1:$1</definedName>
    <definedName name="_xlnm.Print_Titles" localSheetId="1">鳥類!$1:$1</definedName>
    <definedName name="_xlnm.Print_Titles" localSheetId="0">哺乳類!$1:$1</definedName>
    <definedName name="受入区分" localSheetId="4">[1]選択リスト!$I$2:$I$7</definedName>
    <definedName name="受入区分" localSheetId="1">[2]選択リスト!$I$2:$I$7</definedName>
    <definedName name="受入区分">[3]選択リスト!$I$2:$I$7</definedName>
    <definedName name="性別" localSheetId="4">[1]選択リスト!$E$2:$E$5</definedName>
    <definedName name="性別" localSheetId="1">[2]選択リスト!$E$2:$E$5</definedName>
    <definedName name="性別" localSheetId="3">[4]選択リスト!$E$2:$E$5</definedName>
    <definedName name="性別" localSheetId="2">[5]選択リスト!$E$2:$E$5</definedName>
    <definedName name="性別">[3]選択リスト!$E$2:$E$5</definedName>
    <definedName name="保管場所_部屋" localSheetId="4">[1]選択リスト!$K$2:$K$10</definedName>
    <definedName name="保管場所_部屋">[2]選択リスト!$K$2:$K$10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6" i="3" l="1"/>
  <c r="A8" i="5" l="1"/>
  <c r="A54" i="7" l="1"/>
  <c r="A51" i="7" l="1"/>
  <c r="A50" i="7"/>
  <c r="A47" i="7"/>
  <c r="A45" i="7"/>
  <c r="A44" i="7"/>
  <c r="A29" i="7"/>
  <c r="A27" i="7"/>
  <c r="A23" i="7"/>
  <c r="A20" i="7"/>
  <c r="A15" i="7"/>
  <c r="A9" i="7"/>
  <c r="A4" i="7"/>
  <c r="A3" i="7"/>
  <c r="A11" i="5" l="1"/>
  <c r="A10" i="5"/>
  <c r="A7" i="5"/>
  <c r="A3" i="5"/>
  <c r="A2" i="5"/>
  <c r="A87" i="4" l="1"/>
  <c r="A86" i="4"/>
  <c r="A85" i="4"/>
  <c r="A84" i="4"/>
  <c r="A82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1" i="4"/>
  <c r="A40" i="4"/>
  <c r="A39" i="4"/>
  <c r="A38" i="4"/>
  <c r="A37" i="4"/>
  <c r="A35" i="4"/>
  <c r="A34" i="4"/>
  <c r="A33" i="4"/>
  <c r="A32" i="4"/>
  <c r="A31" i="4"/>
  <c r="A30" i="4"/>
  <c r="A29" i="4"/>
  <c r="A28" i="4"/>
  <c r="A27" i="4"/>
  <c r="A26" i="4"/>
  <c r="A24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A94" i="3" l="1"/>
  <c r="A93" i="3"/>
  <c r="A90" i="3"/>
  <c r="A89" i="3"/>
  <c r="A88" i="3"/>
  <c r="A87" i="3"/>
  <c r="A86" i="3"/>
  <c r="A84" i="3"/>
  <c r="A83" i="3"/>
  <c r="A82" i="3"/>
  <c r="A78" i="3"/>
  <c r="A77" i="3"/>
  <c r="A76" i="3"/>
  <c r="A75" i="3"/>
  <c r="A74" i="3"/>
  <c r="A73" i="3"/>
  <c r="A72" i="3"/>
  <c r="A71" i="3"/>
  <c r="A69" i="3"/>
  <c r="A68" i="3"/>
  <c r="A67" i="3"/>
  <c r="A66" i="3"/>
  <c r="A65" i="3"/>
  <c r="A64" i="3"/>
  <c r="A63" i="3"/>
  <c r="A62" i="3"/>
  <c r="A59" i="3"/>
  <c r="A58" i="3"/>
  <c r="A57" i="3"/>
  <c r="A55" i="3"/>
  <c r="A54" i="3"/>
  <c r="A53" i="3"/>
  <c r="A52" i="3"/>
  <c r="A51" i="3"/>
  <c r="A50" i="3"/>
  <c r="A47" i="3"/>
  <c r="A46" i="3"/>
  <c r="A44" i="3"/>
  <c r="A43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5" i="3"/>
  <c r="A23" i="3"/>
  <c r="A22" i="3"/>
  <c r="A21" i="3"/>
  <c r="A20" i="3"/>
  <c r="A19" i="3"/>
  <c r="A17" i="3"/>
  <c r="A16" i="3"/>
  <c r="A12" i="3"/>
  <c r="A9" i="3"/>
  <c r="A8" i="3"/>
  <c r="A7" i="3"/>
  <c r="A5" i="3"/>
  <c r="A3" i="3"/>
</calcChain>
</file>

<file path=xl/sharedStrings.xml><?xml version="1.0" encoding="utf-8"?>
<sst xmlns="http://schemas.openxmlformats.org/spreadsheetml/2006/main" count="2277" uniqueCount="852">
  <si>
    <t>登録番号</t>
    <rPh sb="0" eb="2">
      <t>トウロク</t>
    </rPh>
    <rPh sb="2" eb="4">
      <t>バンゴウ</t>
    </rPh>
    <phoneticPr fontId="2"/>
  </si>
  <si>
    <t>部位</t>
    <phoneticPr fontId="2"/>
  </si>
  <si>
    <r>
      <rPr>
        <sz val="12"/>
        <color theme="1"/>
        <rFont val="游ゴシック"/>
        <family val="3"/>
        <charset val="128"/>
      </rPr>
      <t>学名</t>
    </r>
  </si>
  <si>
    <t>性別</t>
  </si>
  <si>
    <t>全身</t>
  </si>
  <si>
    <t>本剥製</t>
  </si>
  <si>
    <t>A-A 00010</t>
  </si>
  <si>
    <t>1展</t>
  </si>
  <si>
    <t>陸</t>
    <rPh sb="0" eb="1">
      <t>リク</t>
    </rPh>
    <phoneticPr fontId="2"/>
  </si>
  <si>
    <t>カラカル</t>
  </si>
  <si>
    <t>Caracal caracal</t>
  </si>
  <si>
    <t>A-A 00017</t>
  </si>
  <si>
    <t>Nycticebus coucang</t>
    <phoneticPr fontId="2"/>
  </si>
  <si>
    <t>A-A 00021</t>
  </si>
  <si>
    <t>オオアリクイ</t>
    <phoneticPr fontId="2"/>
  </si>
  <si>
    <t>Myrmecophaga tridactyla</t>
  </si>
  <si>
    <t>メス</t>
  </si>
  <si>
    <t>A-A 00026</t>
  </si>
  <si>
    <t>Papio hamadryas</t>
  </si>
  <si>
    <t>A-A 00028</t>
  </si>
  <si>
    <t>アメリカミンク</t>
    <phoneticPr fontId="2"/>
  </si>
  <si>
    <t>全身</t>
    <phoneticPr fontId="2"/>
  </si>
  <si>
    <t>Mustela vison</t>
    <phoneticPr fontId="2"/>
  </si>
  <si>
    <t>A-A 00029</t>
  </si>
  <si>
    <t>オス</t>
  </si>
  <si>
    <t>A-A 00033</t>
  </si>
  <si>
    <t>ニホンカモシカ</t>
    <phoneticPr fontId="2"/>
  </si>
  <si>
    <t>Capricornis crispus</t>
  </si>
  <si>
    <t>A-A 00034</t>
  </si>
  <si>
    <t>A-A 00036</t>
  </si>
  <si>
    <t>ライオン</t>
  </si>
  <si>
    <t>骨格</t>
  </si>
  <si>
    <t>Panthera leo</t>
  </si>
  <si>
    <t>A-A 00037</t>
  </si>
  <si>
    <t>ヒグマ</t>
    <phoneticPr fontId="2"/>
  </si>
  <si>
    <t>Ursus arctos</t>
  </si>
  <si>
    <t>A-A 00040</t>
    <phoneticPr fontId="2"/>
  </si>
  <si>
    <t>Gorilla gorilla</t>
  </si>
  <si>
    <t>A-A 00042</t>
  </si>
  <si>
    <t>セスジワラビー</t>
  </si>
  <si>
    <t>A-A 00045</t>
  </si>
  <si>
    <t>ヒトコブラクダ</t>
  </si>
  <si>
    <t>Camelus dromedarius</t>
  </si>
  <si>
    <t>A-A 00050</t>
  </si>
  <si>
    <t>カバ</t>
  </si>
  <si>
    <t>Hippopotamus amphibius</t>
  </si>
  <si>
    <t>A-A 00052</t>
  </si>
  <si>
    <t>イシイルカ</t>
  </si>
  <si>
    <t>Phocoenoides dalli</t>
  </si>
  <si>
    <t>海</t>
    <rPh sb="0" eb="1">
      <t>ウミ</t>
    </rPh>
    <phoneticPr fontId="2"/>
  </si>
  <si>
    <t>A-A 00056</t>
  </si>
  <si>
    <t>フサオヤマアラシ属の一種</t>
    <rPh sb="8" eb="9">
      <t>ゾク</t>
    </rPh>
    <rPh sb="10" eb="12">
      <t>イッシュ</t>
    </rPh>
    <phoneticPr fontId="3"/>
  </si>
  <si>
    <t>頭部</t>
    <rPh sb="0" eb="2">
      <t>トウブ</t>
    </rPh>
    <phoneticPr fontId="2"/>
  </si>
  <si>
    <r>
      <t xml:space="preserve">Atherurus </t>
    </r>
    <r>
      <rPr>
        <sz val="11"/>
        <color theme="1"/>
        <rFont val="Times New Roman"/>
        <family val="1"/>
      </rPr>
      <t>sp.</t>
    </r>
    <phoneticPr fontId="2"/>
  </si>
  <si>
    <t>A-A 00066</t>
  </si>
  <si>
    <t>アカカンガルー</t>
  </si>
  <si>
    <t>ヒョウ</t>
  </si>
  <si>
    <t xml:space="preserve">Panthera pardus </t>
  </si>
  <si>
    <t>A-A 00069</t>
  </si>
  <si>
    <t>ヒョウ</t>
    <phoneticPr fontId="3"/>
  </si>
  <si>
    <t>A-A 00070</t>
  </si>
  <si>
    <t xml:space="preserve">Ursus arctos </t>
  </si>
  <si>
    <t>ベンガルトラ白変種（ホワイトタイガー）</t>
    <rPh sb="6" eb="7">
      <t>シロ</t>
    </rPh>
    <rPh sb="7" eb="8">
      <t>ヘン</t>
    </rPh>
    <rPh sb="8" eb="9">
      <t>シュ</t>
    </rPh>
    <phoneticPr fontId="3"/>
  </si>
  <si>
    <t>Panthera tigris tigris</t>
  </si>
  <si>
    <t>A-A 00072</t>
  </si>
  <si>
    <t>A-A 00073</t>
  </si>
  <si>
    <t>ニホンジカ</t>
    <phoneticPr fontId="2"/>
  </si>
  <si>
    <t xml:space="preserve">Cervus nippon </t>
  </si>
  <si>
    <t>ニホンジカ</t>
    <phoneticPr fontId="3"/>
  </si>
  <si>
    <t>ムササビ</t>
  </si>
  <si>
    <t xml:space="preserve">Petaurista leucogenys </t>
  </si>
  <si>
    <t>ツキノワグマ</t>
  </si>
  <si>
    <t xml:space="preserve">Ursus thibetanus </t>
  </si>
  <si>
    <t>イノシシ</t>
  </si>
  <si>
    <t xml:space="preserve">Sus scrofa </t>
    <phoneticPr fontId="2"/>
  </si>
  <si>
    <t>タヌキ</t>
    <phoneticPr fontId="2"/>
  </si>
  <si>
    <t xml:space="preserve">Nyctereutes procyonoides </t>
  </si>
  <si>
    <t xml:space="preserve">Vulpes vulpes </t>
  </si>
  <si>
    <t>イノシシ</t>
    <phoneticPr fontId="3"/>
  </si>
  <si>
    <t>A-A 00082</t>
  </si>
  <si>
    <t xml:space="preserve">Martes  melampus </t>
  </si>
  <si>
    <t>A-A 00083</t>
  </si>
  <si>
    <t xml:space="preserve">Lepus brachyurus </t>
  </si>
  <si>
    <t>A-A 00084</t>
  </si>
  <si>
    <t>ニホンリス</t>
    <phoneticPr fontId="2"/>
  </si>
  <si>
    <t xml:space="preserve">Sciurus lis </t>
  </si>
  <si>
    <t>A-A 00085</t>
  </si>
  <si>
    <t xml:space="preserve">Mustela itatsi </t>
  </si>
  <si>
    <t>A-A 00086</t>
  </si>
  <si>
    <t xml:space="preserve">Paguma larvata </t>
  </si>
  <si>
    <t>A-A 00087</t>
  </si>
  <si>
    <t>Meles anakuma</t>
    <phoneticPr fontId="2"/>
  </si>
  <si>
    <t xml:space="preserve">Mustela sibirica </t>
  </si>
  <si>
    <t>A-A 00090</t>
  </si>
  <si>
    <t>キタイイズナ</t>
  </si>
  <si>
    <t>Mustela nivalis nivalis</t>
  </si>
  <si>
    <t>A-A 00091</t>
  </si>
  <si>
    <t>ユーラシアカワウソ</t>
  </si>
  <si>
    <t xml:space="preserve">Lutra lutra </t>
  </si>
  <si>
    <t>A-A 00094</t>
  </si>
  <si>
    <t>キンカジュー</t>
  </si>
  <si>
    <t xml:space="preserve">Potos flavus </t>
  </si>
  <si>
    <t>A-A 00095</t>
  </si>
  <si>
    <t>コモンマーモセット</t>
  </si>
  <si>
    <t xml:space="preserve">Callithrix jacchus </t>
  </si>
  <si>
    <t>A-A 00096</t>
  </si>
  <si>
    <t>ゴールデンライオンタマリン</t>
  </si>
  <si>
    <t xml:space="preserve">Leontopithecus rosalia </t>
  </si>
  <si>
    <t>A-A 00098</t>
  </si>
  <si>
    <t>ベンガルヤマネコ</t>
  </si>
  <si>
    <t xml:space="preserve">Prionailurus bengalensis </t>
  </si>
  <si>
    <t>A-A 00099</t>
  </si>
  <si>
    <t>レッサーパンダ</t>
  </si>
  <si>
    <t>Ailurus fulgens</t>
    <phoneticPr fontId="2"/>
  </si>
  <si>
    <t>A-A 00100</t>
  </si>
  <si>
    <t>センザンコウの一種</t>
  </si>
  <si>
    <t>Manidae sp.</t>
  </si>
  <si>
    <t>A-A 00101</t>
  </si>
  <si>
    <t>アルマジロの一種</t>
    <rPh sb="6" eb="8">
      <t>イッシュ</t>
    </rPh>
    <phoneticPr fontId="3"/>
  </si>
  <si>
    <t>Dasypodidae sp.</t>
  </si>
  <si>
    <t>A-A 00105</t>
    <phoneticPr fontId="2"/>
  </si>
  <si>
    <t>ミナミゾウアザラシ</t>
    <phoneticPr fontId="2"/>
  </si>
  <si>
    <t xml:space="preserve">Mirounga leonina </t>
  </si>
  <si>
    <t>A-A 00106</t>
  </si>
  <si>
    <t>ゴマフアザラシ</t>
  </si>
  <si>
    <t xml:space="preserve">Phoca largha </t>
  </si>
  <si>
    <t>A-A 00114</t>
  </si>
  <si>
    <t>アナウサギ</t>
    <phoneticPr fontId="2"/>
  </si>
  <si>
    <t xml:space="preserve">Oryctolagus cuniculus </t>
  </si>
  <si>
    <t>A-A 00115</t>
  </si>
  <si>
    <t>ミナミオポッサム</t>
    <phoneticPr fontId="2"/>
  </si>
  <si>
    <t xml:space="preserve">Didelphis marsupialis </t>
  </si>
  <si>
    <t>A-A 00118</t>
  </si>
  <si>
    <t>A-A 00132</t>
  </si>
  <si>
    <t>クロミンククジラ</t>
  </si>
  <si>
    <t xml:space="preserve">Balaenoptera bonaerensis </t>
  </si>
  <si>
    <t>A-A 00133</t>
  </si>
  <si>
    <t>アメリカバイソン</t>
  </si>
  <si>
    <t xml:space="preserve">Bison bison </t>
  </si>
  <si>
    <t>A-A 00134</t>
    <phoneticPr fontId="2"/>
  </si>
  <si>
    <t>ミナミゾウアザラシ</t>
  </si>
  <si>
    <t>A-A 00135</t>
  </si>
  <si>
    <t>キリン</t>
  </si>
  <si>
    <t xml:space="preserve">Giraffa camelopardalis </t>
  </si>
  <si>
    <t>A-A 00136</t>
  </si>
  <si>
    <t>ニホンカモシカ</t>
  </si>
  <si>
    <t xml:space="preserve">Capricornis crispus </t>
  </si>
  <si>
    <t>A-A 00137</t>
  </si>
  <si>
    <t>シロサイ</t>
  </si>
  <si>
    <t xml:space="preserve">Ceratotherium simum </t>
  </si>
  <si>
    <t>A-A 00138</t>
  </si>
  <si>
    <t>アフリカゾウ</t>
  </si>
  <si>
    <t xml:space="preserve">Loxodonta africana </t>
  </si>
  <si>
    <t>A-A 00139</t>
  </si>
  <si>
    <t>ニホンジカ</t>
  </si>
  <si>
    <t>A-A 00140</t>
  </si>
  <si>
    <t xml:space="preserve">Nyctereutes procyonoides </t>
    <phoneticPr fontId="2"/>
  </si>
  <si>
    <t>A-A 00141</t>
  </si>
  <si>
    <t>A-A 00142</t>
  </si>
  <si>
    <t>Ursus arctos</t>
    <phoneticPr fontId="2"/>
  </si>
  <si>
    <t>A-A 00143</t>
  </si>
  <si>
    <t>A-A 00144</t>
  </si>
  <si>
    <t>A-A 00152</t>
  </si>
  <si>
    <t>キタキツネ</t>
    <phoneticPr fontId="2"/>
  </si>
  <si>
    <t>Vulpes vulpes schrencki</t>
    <phoneticPr fontId="2"/>
  </si>
  <si>
    <t>イノシシ</t>
    <phoneticPr fontId="2"/>
  </si>
  <si>
    <t>A-A 00154</t>
  </si>
  <si>
    <t>ニホンザル</t>
    <phoneticPr fontId="2"/>
  </si>
  <si>
    <t>A-A 00155</t>
  </si>
  <si>
    <t>A-A 00156</t>
  </si>
  <si>
    <t xml:space="preserve">Martes melampus </t>
    <phoneticPr fontId="2"/>
  </si>
  <si>
    <t>A-A 00157</t>
  </si>
  <si>
    <t>ムササビ</t>
    <phoneticPr fontId="2"/>
  </si>
  <si>
    <t>A-A 00158</t>
  </si>
  <si>
    <t>ジャワマングース</t>
    <phoneticPr fontId="2"/>
  </si>
  <si>
    <t>A-A 00159</t>
  </si>
  <si>
    <t>オリイオオコウモリ</t>
  </si>
  <si>
    <t>Pteropus dasymallus inopinatus</t>
    <phoneticPr fontId="2"/>
  </si>
  <si>
    <t>A-A 00160</t>
  </si>
  <si>
    <t>ヒミズ</t>
    <phoneticPr fontId="2"/>
  </si>
  <si>
    <t xml:space="preserve">Urotrichus talpoides </t>
    <phoneticPr fontId="2"/>
  </si>
  <si>
    <t>A-A 00161</t>
  </si>
  <si>
    <t>ベンガルトラ白変種（ホワイトタイガー）</t>
    <phoneticPr fontId="2"/>
  </si>
  <si>
    <t>Panthera tigris tigris</t>
    <phoneticPr fontId="2"/>
  </si>
  <si>
    <t>A-A 00162</t>
    <phoneticPr fontId="2"/>
  </si>
  <si>
    <t>ツシマテン（夏毛）</t>
    <phoneticPr fontId="2"/>
  </si>
  <si>
    <t xml:space="preserve">Martes melampus tsuensis </t>
    <phoneticPr fontId="2"/>
  </si>
  <si>
    <t>A-A 00163</t>
  </si>
  <si>
    <t>クリハラリス</t>
    <phoneticPr fontId="2"/>
  </si>
  <si>
    <t xml:space="preserve">Callosciurus erythraeus </t>
    <phoneticPr fontId="2"/>
  </si>
  <si>
    <t>A-A 00164</t>
  </si>
  <si>
    <t>ホッキョクグマ</t>
    <phoneticPr fontId="2"/>
  </si>
  <si>
    <t xml:space="preserve">Ursus  maritimus </t>
    <phoneticPr fontId="2"/>
  </si>
  <si>
    <t>A-A 00165</t>
  </si>
  <si>
    <t>A-A 00166</t>
  </si>
  <si>
    <t>キタオットセイ</t>
    <phoneticPr fontId="2"/>
  </si>
  <si>
    <t xml:space="preserve">Callorhinus ursinus </t>
    <phoneticPr fontId="2"/>
  </si>
  <si>
    <t>A-A 00167</t>
  </si>
  <si>
    <t xml:space="preserve">Pongo pygmaeus </t>
    <phoneticPr fontId="2"/>
  </si>
  <si>
    <t>A-A 00168</t>
    <phoneticPr fontId="2"/>
  </si>
  <si>
    <t>A-A 00169</t>
  </si>
  <si>
    <t>オオアシトガリネズミ</t>
    <phoneticPr fontId="2"/>
  </si>
  <si>
    <t>Sorex unguiculatus</t>
    <phoneticPr fontId="2"/>
  </si>
  <si>
    <t>A-A 00170</t>
    <phoneticPr fontId="2"/>
  </si>
  <si>
    <t>A-A 00173</t>
  </si>
  <si>
    <t>ドブネズミ</t>
    <phoneticPr fontId="2"/>
  </si>
  <si>
    <t>Rattus norvegicus</t>
    <phoneticPr fontId="2"/>
  </si>
  <si>
    <t>A-A 00174</t>
  </si>
  <si>
    <t>ヒメネズミ</t>
    <phoneticPr fontId="2"/>
  </si>
  <si>
    <t>Apodemus argenteus</t>
    <phoneticPr fontId="2"/>
  </si>
  <si>
    <t>アズマモグラ</t>
    <phoneticPr fontId="2"/>
  </si>
  <si>
    <t xml:space="preserve">Mogera imaizumii </t>
    <phoneticPr fontId="2"/>
  </si>
  <si>
    <t>Petaurista leucogenys</t>
    <phoneticPr fontId="2"/>
  </si>
  <si>
    <t>A-A 00179</t>
  </si>
  <si>
    <r>
      <t xml:space="preserve">Rousettus </t>
    </r>
    <r>
      <rPr>
        <sz val="11"/>
        <color theme="1"/>
        <rFont val="Times New Roman"/>
        <family val="1"/>
      </rPr>
      <t xml:space="preserve">sp.  </t>
    </r>
    <phoneticPr fontId="2"/>
  </si>
  <si>
    <t>A-A 00180</t>
  </si>
  <si>
    <t>ミナミアフリカオットセイ</t>
    <phoneticPr fontId="2"/>
  </si>
  <si>
    <t xml:space="preserve">Arctocephalus pusillus </t>
    <phoneticPr fontId="2"/>
  </si>
  <si>
    <t>A-A 00181</t>
  </si>
  <si>
    <t>A-A 00182</t>
  </si>
  <si>
    <t>アライグマ</t>
    <phoneticPr fontId="2"/>
  </si>
  <si>
    <t>Procyon lotor</t>
    <phoneticPr fontId="2"/>
  </si>
  <si>
    <t>A-A 00186</t>
  </si>
  <si>
    <t>アムールハリネズミ</t>
    <phoneticPr fontId="2"/>
  </si>
  <si>
    <t>Erinaceus amurensis</t>
  </si>
  <si>
    <t>A-A 00187</t>
  </si>
  <si>
    <t>A-A 00188</t>
    <phoneticPr fontId="2"/>
  </si>
  <si>
    <t>平鞣し</t>
    <rPh sb="0" eb="1">
      <t>ヒラ</t>
    </rPh>
    <rPh sb="1" eb="2">
      <t>ナメ</t>
    </rPh>
    <phoneticPr fontId="2"/>
  </si>
  <si>
    <t>A-A 00189</t>
  </si>
  <si>
    <t>オオカンガルー</t>
    <phoneticPr fontId="3"/>
  </si>
  <si>
    <t>Macropus giganteus</t>
    <phoneticPr fontId="2"/>
  </si>
  <si>
    <t>A-A 00190</t>
  </si>
  <si>
    <t>シロテテナガザル</t>
  </si>
  <si>
    <t>Hylobates lar</t>
    <phoneticPr fontId="2"/>
  </si>
  <si>
    <t>A-A 00191</t>
    <phoneticPr fontId="2"/>
  </si>
  <si>
    <t>A-A 00192</t>
  </si>
  <si>
    <t>Saquinus oedipus</t>
  </si>
  <si>
    <t>A-A 00193</t>
  </si>
  <si>
    <t>ヒメネズミ</t>
  </si>
  <si>
    <t>Apodemus argenteus</t>
  </si>
  <si>
    <t>A-A 00194</t>
  </si>
  <si>
    <t>Perodicticus potto</t>
    <phoneticPr fontId="2"/>
  </si>
  <si>
    <t>A-A 00195</t>
  </si>
  <si>
    <t>ムネアカタマリン</t>
    <phoneticPr fontId="2"/>
  </si>
  <si>
    <t>Saguinus labiatus</t>
    <phoneticPr fontId="2"/>
  </si>
  <si>
    <t>A-A 00196</t>
  </si>
  <si>
    <t>Callorhinus ursinus</t>
    <phoneticPr fontId="2"/>
  </si>
  <si>
    <t>A-A 00197</t>
  </si>
  <si>
    <t>バーバリーマカク</t>
    <phoneticPr fontId="2"/>
  </si>
  <si>
    <t>Macaca sylvanus</t>
    <phoneticPr fontId="2"/>
  </si>
  <si>
    <t>A-A 00198</t>
  </si>
  <si>
    <t>Pongo pygmaeus</t>
    <phoneticPr fontId="2"/>
  </si>
  <si>
    <t>A-A 00199</t>
  </si>
  <si>
    <t>ヨアケオオコウモリ</t>
  </si>
  <si>
    <t>Eonycteris spelaea</t>
  </si>
  <si>
    <t>A-A 00200</t>
  </si>
  <si>
    <t>A-A 00202</t>
  </si>
  <si>
    <t>Phoca largha</t>
    <phoneticPr fontId="2"/>
  </si>
  <si>
    <t>A-A 00203</t>
  </si>
  <si>
    <t>ツシマジカ</t>
    <phoneticPr fontId="2"/>
  </si>
  <si>
    <t>Cervus nippon pulchellus</t>
    <phoneticPr fontId="2"/>
  </si>
  <si>
    <t>A-A 00204</t>
  </si>
  <si>
    <t>キョン</t>
    <phoneticPr fontId="2"/>
  </si>
  <si>
    <t>Muntiacus reevesi</t>
    <phoneticPr fontId="2"/>
  </si>
  <si>
    <t>A-A 00205</t>
  </si>
  <si>
    <t>Myrmecophaga tridactyla</t>
    <phoneticPr fontId="2"/>
  </si>
  <si>
    <t>A-A 00206</t>
  </si>
  <si>
    <t>パルマワラビー</t>
    <phoneticPr fontId="2"/>
  </si>
  <si>
    <t>メス</t>
    <phoneticPr fontId="2"/>
  </si>
  <si>
    <t>A-A 00240</t>
  </si>
  <si>
    <t>Phoca largha</t>
  </si>
  <si>
    <t>A-A 00253</t>
  </si>
  <si>
    <t>スナメリ</t>
  </si>
  <si>
    <t>オス</t>
    <phoneticPr fontId="2"/>
  </si>
  <si>
    <t>A-A-00184</t>
  </si>
  <si>
    <r>
      <t xml:space="preserve">Rousettus </t>
    </r>
    <r>
      <rPr>
        <sz val="11"/>
        <color theme="1"/>
        <rFont val="Times New Roman"/>
        <family val="1"/>
      </rPr>
      <t>sp.</t>
    </r>
    <phoneticPr fontId="2"/>
  </si>
  <si>
    <t>画像</t>
    <rPh sb="0" eb="2">
      <t>ガゾウ</t>
    </rPh>
    <phoneticPr fontId="2"/>
  </si>
  <si>
    <t>和名</t>
    <rPh sb="0" eb="1">
      <t>ワ</t>
    </rPh>
    <phoneticPr fontId="2"/>
  </si>
  <si>
    <t>A-A 00011</t>
  </si>
  <si>
    <t>A-A 00067</t>
  </si>
  <si>
    <t>A-A 00068</t>
  </si>
  <si>
    <t>A-A 00074</t>
  </si>
  <si>
    <t>A-A 00075</t>
  </si>
  <si>
    <t>A-A 00076</t>
  </si>
  <si>
    <t>A-A 00077</t>
  </si>
  <si>
    <t>A-A 00078</t>
  </si>
  <si>
    <t>A-A 00079</t>
  </si>
  <si>
    <t>A-A 00080</t>
  </si>
  <si>
    <t>A-A 00081</t>
  </si>
  <si>
    <t>A-A 00176</t>
  </si>
  <si>
    <t>A-A 00178</t>
  </si>
  <si>
    <t>資料形態（資料種別）</t>
  </si>
  <si>
    <t>保管場所（部屋）</t>
  </si>
  <si>
    <t>保管場所（位置）</t>
  </si>
  <si>
    <t>陸</t>
    <rPh sb="0" eb="1">
      <t>リク</t>
    </rPh>
    <phoneticPr fontId="3"/>
  </si>
  <si>
    <t>海</t>
    <rPh sb="0" eb="1">
      <t>ウミ</t>
    </rPh>
    <phoneticPr fontId="3"/>
  </si>
  <si>
    <t>ハクビシン</t>
  </si>
  <si>
    <t>ムツオビアルマジロ</t>
    <phoneticPr fontId="2"/>
  </si>
  <si>
    <t>Euphractus sexcinectus</t>
    <phoneticPr fontId="2"/>
  </si>
  <si>
    <t>A-A-00183</t>
  </si>
  <si>
    <t>ワタボウシタマリン</t>
    <phoneticPr fontId="2"/>
  </si>
  <si>
    <t>A-A 00267</t>
  </si>
  <si>
    <t>シロナガスクジラ</t>
    <phoneticPr fontId="2"/>
  </si>
  <si>
    <t>クジラヒゲ</t>
    <phoneticPr fontId="2"/>
  </si>
  <si>
    <t>Balaenoptera musculus</t>
    <phoneticPr fontId="2"/>
  </si>
  <si>
    <t>A-B 00001</t>
    <phoneticPr fontId="2"/>
  </si>
  <si>
    <t>クロハゲワシ</t>
    <phoneticPr fontId="2"/>
  </si>
  <si>
    <t>Aegypius monachus</t>
    <phoneticPr fontId="2"/>
  </si>
  <si>
    <t>空</t>
    <rPh sb="0" eb="1">
      <t>ソラ</t>
    </rPh>
    <phoneticPr fontId="3"/>
  </si>
  <si>
    <t>A-B 00004</t>
  </si>
  <si>
    <t>シロフクロウ</t>
  </si>
  <si>
    <t>Bubo scandiacus</t>
    <phoneticPr fontId="2"/>
  </si>
  <si>
    <t>A-B 00006</t>
  </si>
  <si>
    <t>トキ</t>
  </si>
  <si>
    <t>Nipponia nippon</t>
    <phoneticPr fontId="2"/>
  </si>
  <si>
    <t>A-B 00009</t>
  </si>
  <si>
    <t>ヤイロチョウの一種</t>
    <rPh sb="7" eb="9">
      <t>イッシュ</t>
    </rPh>
    <phoneticPr fontId="2"/>
  </si>
  <si>
    <r>
      <t xml:space="preserve">Pitta </t>
    </r>
    <r>
      <rPr>
        <sz val="11"/>
        <color theme="1"/>
        <rFont val="Times New Roman"/>
        <family val="1"/>
      </rPr>
      <t>sp.</t>
    </r>
    <phoneticPr fontId="2"/>
  </si>
  <si>
    <t>A-B 00011</t>
  </si>
  <si>
    <t>ヒクイドリ</t>
  </si>
  <si>
    <t>Casuarius casuarius</t>
    <phoneticPr fontId="2"/>
  </si>
  <si>
    <t>A-B 00012</t>
  </si>
  <si>
    <t>アカサイチョウ</t>
    <phoneticPr fontId="2"/>
  </si>
  <si>
    <t>Buceros hydrocorax</t>
    <phoneticPr fontId="2"/>
  </si>
  <si>
    <t>A-B 00013</t>
  </si>
  <si>
    <t>ヒクイナ</t>
  </si>
  <si>
    <t>Zapornia fusca</t>
    <phoneticPr fontId="2"/>
  </si>
  <si>
    <t>Gallinago gallinago</t>
    <phoneticPr fontId="2"/>
  </si>
  <si>
    <t>A-B 00017</t>
  </si>
  <si>
    <t>アトリ</t>
    <phoneticPr fontId="3"/>
  </si>
  <si>
    <t>Fringilla montifringilla</t>
    <phoneticPr fontId="2"/>
  </si>
  <si>
    <t>A-B 00020</t>
  </si>
  <si>
    <t>ムナグロ</t>
  </si>
  <si>
    <t>Pluvialis fulva</t>
    <phoneticPr fontId="2"/>
  </si>
  <si>
    <t>A-B 00022</t>
  </si>
  <si>
    <t>バン</t>
  </si>
  <si>
    <t>Gallinula chloropus</t>
    <phoneticPr fontId="2"/>
  </si>
  <si>
    <t>A-B 00025</t>
  </si>
  <si>
    <t>ニュウナイスズメ</t>
    <phoneticPr fontId="2"/>
  </si>
  <si>
    <t>Passer cinnamomeus</t>
    <phoneticPr fontId="2"/>
  </si>
  <si>
    <t>A-B 00026</t>
  </si>
  <si>
    <t>ハシボソガラス</t>
  </si>
  <si>
    <t>Corvus corone</t>
    <phoneticPr fontId="2"/>
  </si>
  <si>
    <t>A-B 00027</t>
  </si>
  <si>
    <t>カルガモ</t>
  </si>
  <si>
    <t>Anas zonorhyncha</t>
    <phoneticPr fontId="2"/>
  </si>
  <si>
    <t>A-B 00028</t>
  </si>
  <si>
    <t>ミゾゴイ</t>
  </si>
  <si>
    <t>Gorsachius goisagi</t>
    <phoneticPr fontId="2"/>
  </si>
  <si>
    <t>A-B 00029</t>
  </si>
  <si>
    <t>スズメ</t>
    <phoneticPr fontId="2"/>
  </si>
  <si>
    <t>Passer montanus</t>
    <phoneticPr fontId="2"/>
  </si>
  <si>
    <t>実物</t>
    <rPh sb="0" eb="2">
      <t>ジツブツ</t>
    </rPh>
    <phoneticPr fontId="2"/>
  </si>
  <si>
    <t>Lanius bucephalus</t>
    <phoneticPr fontId="2"/>
  </si>
  <si>
    <t>A-B 00031</t>
  </si>
  <si>
    <t>ヨタカ</t>
  </si>
  <si>
    <t>Caprimulgus jotaka</t>
  </si>
  <si>
    <t>アオジ</t>
    <phoneticPr fontId="2"/>
  </si>
  <si>
    <t>Emberiza personata</t>
  </si>
  <si>
    <t>ジョウビタキ</t>
    <phoneticPr fontId="2"/>
  </si>
  <si>
    <t>Phoenicurus auroreus</t>
    <phoneticPr fontId="2"/>
  </si>
  <si>
    <t>シジュウカラ</t>
    <phoneticPr fontId="2"/>
  </si>
  <si>
    <t>Parus cinereus</t>
  </si>
  <si>
    <t>Turdus pallidus</t>
    <phoneticPr fontId="2"/>
  </si>
  <si>
    <t>モズ</t>
    <phoneticPr fontId="2"/>
  </si>
  <si>
    <t>Zosterops japonicus</t>
    <phoneticPr fontId="2"/>
  </si>
  <si>
    <t>Yungipicus kizuki</t>
  </si>
  <si>
    <t>Cinclus pallasii</t>
    <phoneticPr fontId="2"/>
  </si>
  <si>
    <t>Monticola solitarius</t>
    <phoneticPr fontId="2"/>
  </si>
  <si>
    <t>カワセミ</t>
    <phoneticPr fontId="2"/>
  </si>
  <si>
    <t>Alcedo atthis</t>
    <phoneticPr fontId="2"/>
  </si>
  <si>
    <t>Syrmaticus soemmerringii</t>
    <phoneticPr fontId="2"/>
  </si>
  <si>
    <t>Garrulus glandarius</t>
    <phoneticPr fontId="2"/>
  </si>
  <si>
    <t>Spodiopsar cineraceus</t>
    <phoneticPr fontId="2"/>
  </si>
  <si>
    <t>イソヒヨドリ</t>
    <phoneticPr fontId="2"/>
  </si>
  <si>
    <t>Streptopelia orientalis</t>
    <phoneticPr fontId="2"/>
  </si>
  <si>
    <t>チョウゲンボウ</t>
    <phoneticPr fontId="2"/>
  </si>
  <si>
    <t>Falco tinnunculus</t>
    <phoneticPr fontId="2"/>
  </si>
  <si>
    <t>ツミ</t>
    <phoneticPr fontId="2"/>
  </si>
  <si>
    <t>Accipiter gularis</t>
    <phoneticPr fontId="2"/>
  </si>
  <si>
    <t>コガモ</t>
    <phoneticPr fontId="2"/>
  </si>
  <si>
    <t>Anas crecca</t>
    <phoneticPr fontId="2"/>
  </si>
  <si>
    <t>ヤマドリ</t>
    <phoneticPr fontId="2"/>
  </si>
  <si>
    <t>ウミウ</t>
    <phoneticPr fontId="2"/>
  </si>
  <si>
    <t>Phalacrocorax capillatus</t>
    <phoneticPr fontId="2"/>
  </si>
  <si>
    <t>アオサギ</t>
    <phoneticPr fontId="2"/>
  </si>
  <si>
    <t>Ardea cinerea</t>
    <phoneticPr fontId="2"/>
  </si>
  <si>
    <t>A-B 00162</t>
  </si>
  <si>
    <t>オオウロコフウチョウ</t>
    <phoneticPr fontId="2"/>
  </si>
  <si>
    <t>Ptiloris magnificus</t>
    <phoneticPr fontId="2"/>
  </si>
  <si>
    <t>メジロ</t>
    <phoneticPr fontId="2"/>
  </si>
  <si>
    <t>ウグイス</t>
    <phoneticPr fontId="2"/>
  </si>
  <si>
    <t>Horornis diphone</t>
  </si>
  <si>
    <t>A-B 00184</t>
  </si>
  <si>
    <t>オウカンエボシドリ</t>
    <phoneticPr fontId="2"/>
  </si>
  <si>
    <t>A-B 00186</t>
  </si>
  <si>
    <t>コンドル</t>
  </si>
  <si>
    <t>Vultur gryphus</t>
    <phoneticPr fontId="2"/>
  </si>
  <si>
    <t>A-B 00188</t>
  </si>
  <si>
    <t>セイケイ</t>
  </si>
  <si>
    <t>Porphyrio porphyrio</t>
    <phoneticPr fontId="2"/>
  </si>
  <si>
    <t>Zoothera aurea</t>
  </si>
  <si>
    <t>A-B 00192</t>
  </si>
  <si>
    <t>カンムリヅル</t>
  </si>
  <si>
    <t>Balearica pavonina</t>
    <phoneticPr fontId="2"/>
  </si>
  <si>
    <t>A-B 00193</t>
  </si>
  <si>
    <t>ヒムネオオハシ</t>
  </si>
  <si>
    <t>Ramphastos vitellinus</t>
    <phoneticPr fontId="2"/>
  </si>
  <si>
    <t>A-B 00194</t>
  </si>
  <si>
    <t>シュバシコウ</t>
  </si>
  <si>
    <t xml:space="preserve">Ciconia ciconia </t>
  </si>
  <si>
    <t>A-B 00198</t>
  </si>
  <si>
    <t>ショウジョウトキ</t>
  </si>
  <si>
    <t>Eudocimus ruber</t>
    <phoneticPr fontId="2"/>
  </si>
  <si>
    <t>A-B 00200</t>
  </si>
  <si>
    <t>ダチョウ</t>
  </si>
  <si>
    <t>Struthio camelus</t>
    <phoneticPr fontId="2"/>
  </si>
  <si>
    <t>A-B 00201</t>
  </si>
  <si>
    <t>タシギ</t>
  </si>
  <si>
    <t>A-B 00204</t>
    <phoneticPr fontId="2"/>
  </si>
  <si>
    <t>カケス</t>
    <phoneticPr fontId="2"/>
  </si>
  <si>
    <t>A-B 00206</t>
  </si>
  <si>
    <t>オナガ</t>
    <phoneticPr fontId="2"/>
  </si>
  <si>
    <t>Cyanopica cyanus</t>
    <phoneticPr fontId="2"/>
  </si>
  <si>
    <t>キジ</t>
    <phoneticPr fontId="2"/>
  </si>
  <si>
    <t>Phasianus versicolor</t>
  </si>
  <si>
    <t>A-B 00210</t>
  </si>
  <si>
    <t>シロハラ</t>
    <phoneticPr fontId="2"/>
  </si>
  <si>
    <t>A-B 00212</t>
  </si>
  <si>
    <t>A-B 00213</t>
  </si>
  <si>
    <t>A-B 00215</t>
  </si>
  <si>
    <t>カワガラス</t>
    <phoneticPr fontId="2"/>
  </si>
  <si>
    <t>A-B 00216</t>
  </si>
  <si>
    <t>サンコウチョウ</t>
    <phoneticPr fontId="2"/>
  </si>
  <si>
    <t>ヒヨドリ</t>
    <phoneticPr fontId="2"/>
  </si>
  <si>
    <t>A-B 00223</t>
  </si>
  <si>
    <t>オオフウチョウの一種</t>
  </si>
  <si>
    <r>
      <t xml:space="preserve">Paradisaea  apoda </t>
    </r>
    <r>
      <rPr>
        <sz val="11"/>
        <color theme="1"/>
        <rFont val="Times New Roman"/>
        <family val="1"/>
      </rPr>
      <t>sp.</t>
    </r>
    <phoneticPr fontId="2"/>
  </si>
  <si>
    <t>A-B 00224</t>
  </si>
  <si>
    <t>ツミ</t>
  </si>
  <si>
    <t>A-B 00229</t>
  </si>
  <si>
    <t>コミミズク</t>
    <phoneticPr fontId="2"/>
  </si>
  <si>
    <t>Asio flammeus</t>
    <phoneticPr fontId="2"/>
  </si>
  <si>
    <t>A-B 00230</t>
  </si>
  <si>
    <t>コノハズク</t>
    <phoneticPr fontId="2"/>
  </si>
  <si>
    <t>Otus sunia</t>
    <phoneticPr fontId="2"/>
  </si>
  <si>
    <t>カルガモ</t>
    <phoneticPr fontId="2"/>
  </si>
  <si>
    <t>A-B 00232</t>
  </si>
  <si>
    <t>ウオミミズク</t>
    <phoneticPr fontId="2"/>
  </si>
  <si>
    <t>Ketupa flavipes</t>
    <phoneticPr fontId="2"/>
  </si>
  <si>
    <t>A-B 00235</t>
  </si>
  <si>
    <t>マナヅル</t>
    <phoneticPr fontId="2"/>
  </si>
  <si>
    <t>Antigone vipio</t>
  </si>
  <si>
    <t>卵殻</t>
    <rPh sb="1" eb="2">
      <t>カラ</t>
    </rPh>
    <phoneticPr fontId="2"/>
  </si>
  <si>
    <t>A-B 00238</t>
  </si>
  <si>
    <t>タンチョウ</t>
    <phoneticPr fontId="2"/>
  </si>
  <si>
    <t>Grus japonensis</t>
    <phoneticPr fontId="2"/>
  </si>
  <si>
    <t>A-B 00239</t>
  </si>
  <si>
    <t>ダチョウ</t>
    <phoneticPr fontId="2"/>
  </si>
  <si>
    <t>A-B 00240</t>
  </si>
  <si>
    <t>A-B 00241</t>
  </si>
  <si>
    <t>ハシブトガラス</t>
    <phoneticPr fontId="2"/>
  </si>
  <si>
    <t>A-B 00242</t>
  </si>
  <si>
    <t>イカル</t>
    <phoneticPr fontId="2"/>
  </si>
  <si>
    <t>Eophona personata</t>
    <phoneticPr fontId="2"/>
  </si>
  <si>
    <t>A-B 00250</t>
  </si>
  <si>
    <t>ギンケイ</t>
  </si>
  <si>
    <t>Chrysolophus amherstiae</t>
    <phoneticPr fontId="2"/>
  </si>
  <si>
    <t>トビ</t>
    <phoneticPr fontId="2"/>
  </si>
  <si>
    <t>フクロウ</t>
    <phoneticPr fontId="2"/>
  </si>
  <si>
    <t>Strix uralensis</t>
    <phoneticPr fontId="2"/>
  </si>
  <si>
    <t>A-B 00256</t>
  </si>
  <si>
    <t>イワトビペンギン</t>
    <phoneticPr fontId="2"/>
  </si>
  <si>
    <t>Eudyptes chrysocome</t>
    <phoneticPr fontId="2"/>
  </si>
  <si>
    <t>A-B 00257</t>
  </si>
  <si>
    <t>ハシボソガラス</t>
    <phoneticPr fontId="2"/>
  </si>
  <si>
    <t>A-B 00258</t>
  </si>
  <si>
    <t>A-B 00259</t>
  </si>
  <si>
    <t>A-B 00260</t>
  </si>
  <si>
    <t>A-B 00261</t>
  </si>
  <si>
    <t>コゲラ</t>
    <phoneticPr fontId="2"/>
  </si>
  <si>
    <t>A-B 00263</t>
  </si>
  <si>
    <t>A-B 00264</t>
  </si>
  <si>
    <t>ムクドリ</t>
    <phoneticPr fontId="3"/>
  </si>
  <si>
    <t>A-B 00265</t>
  </si>
  <si>
    <t>A-B 00266</t>
  </si>
  <si>
    <t>A-B 00267</t>
  </si>
  <si>
    <t>シメ</t>
    <phoneticPr fontId="2"/>
  </si>
  <si>
    <t>Coccothraustes coccothraustes</t>
    <phoneticPr fontId="2"/>
  </si>
  <si>
    <t>A-B 00268</t>
  </si>
  <si>
    <t>シロエリオオハム</t>
  </si>
  <si>
    <t>Gavia pacifica</t>
    <phoneticPr fontId="2"/>
  </si>
  <si>
    <t>A-B 00269</t>
  </si>
  <si>
    <t>オオタカ</t>
    <phoneticPr fontId="2"/>
  </si>
  <si>
    <t>A-B 00271</t>
  </si>
  <si>
    <t>ヤマシギ</t>
    <phoneticPr fontId="2"/>
  </si>
  <si>
    <t>A-B 00272</t>
  </si>
  <si>
    <t>A-B 00273</t>
    <phoneticPr fontId="2"/>
  </si>
  <si>
    <t>A-B 00274</t>
  </si>
  <si>
    <t>A-B 00275</t>
  </si>
  <si>
    <t>A-B 00277</t>
  </si>
  <si>
    <t>オオミズナギドリ</t>
  </si>
  <si>
    <t>Calonectris leucomelas</t>
    <phoneticPr fontId="2"/>
  </si>
  <si>
    <t>A-B 00279</t>
  </si>
  <si>
    <t>ウミウ</t>
  </si>
  <si>
    <t>A-B 00280</t>
  </si>
  <si>
    <t>A-B 00281</t>
  </si>
  <si>
    <t>アオバト</t>
    <phoneticPr fontId="2"/>
  </si>
  <si>
    <t>Treron sieboldii</t>
    <phoneticPr fontId="2"/>
  </si>
  <si>
    <t>A-B 00282</t>
  </si>
  <si>
    <t>A-B 00283</t>
  </si>
  <si>
    <t>A-B 00284</t>
  </si>
  <si>
    <t>A-B 00285</t>
  </si>
  <si>
    <t>A-B 00286</t>
  </si>
  <si>
    <t>カワラバト（ドバト）</t>
    <phoneticPr fontId="2"/>
  </si>
  <si>
    <t>Columba livia</t>
    <phoneticPr fontId="2"/>
  </si>
  <si>
    <t>A-B 00287</t>
  </si>
  <si>
    <t>キジバト</t>
    <phoneticPr fontId="2"/>
  </si>
  <si>
    <t>A-B 00288</t>
  </si>
  <si>
    <t>A-B 00289</t>
  </si>
  <si>
    <t>セグロセキレイ</t>
    <phoneticPr fontId="2"/>
  </si>
  <si>
    <t>Motacilla grandis</t>
    <phoneticPr fontId="2"/>
  </si>
  <si>
    <t>A-B 00291</t>
  </si>
  <si>
    <t>フルマカモメ</t>
    <phoneticPr fontId="2"/>
  </si>
  <si>
    <t>A-B 00292</t>
  </si>
  <si>
    <t>ハシボソミズナギドリ</t>
    <phoneticPr fontId="2"/>
  </si>
  <si>
    <t>Ardenna tenuirostris</t>
  </si>
  <si>
    <t>A-B 00293</t>
  </si>
  <si>
    <t>A-B 00294</t>
  </si>
  <si>
    <t>コハクチョウ</t>
    <phoneticPr fontId="2"/>
  </si>
  <si>
    <t>Cygnus columbianus</t>
  </si>
  <si>
    <t>A-B 00295</t>
  </si>
  <si>
    <t>A-B 00296</t>
  </si>
  <si>
    <t>ウミネコ</t>
    <phoneticPr fontId="2"/>
  </si>
  <si>
    <t>Larus crassirostris</t>
    <phoneticPr fontId="2"/>
  </si>
  <si>
    <t>A-B 00297</t>
  </si>
  <si>
    <t>ウミアイサ</t>
    <phoneticPr fontId="2"/>
  </si>
  <si>
    <t>Mergus serrator</t>
    <phoneticPr fontId="2"/>
  </si>
  <si>
    <t>A-B 00299</t>
  </si>
  <si>
    <t>A-B 00300</t>
  </si>
  <si>
    <t>カワウ</t>
    <phoneticPr fontId="2"/>
  </si>
  <si>
    <t>Phalacrocorax carbo</t>
    <phoneticPr fontId="2"/>
  </si>
  <si>
    <t>A-B 00301</t>
  </si>
  <si>
    <t>ホオジロ</t>
    <phoneticPr fontId="2"/>
  </si>
  <si>
    <t>Emberiza cioides</t>
    <phoneticPr fontId="2"/>
  </si>
  <si>
    <t>A-B 00302</t>
  </si>
  <si>
    <t>ツバメ</t>
    <phoneticPr fontId="2"/>
  </si>
  <si>
    <t>A-B 00303</t>
  </si>
  <si>
    <t>A-B 00304</t>
  </si>
  <si>
    <t>キジ</t>
  </si>
  <si>
    <t>A-B 00305</t>
  </si>
  <si>
    <t>コサギ</t>
    <phoneticPr fontId="2"/>
  </si>
  <si>
    <t>Egretta garzetta</t>
    <phoneticPr fontId="2"/>
  </si>
  <si>
    <t>A-B 00306</t>
  </si>
  <si>
    <t>A-B 00307</t>
  </si>
  <si>
    <t>ウミウ</t>
    <phoneticPr fontId="9"/>
  </si>
  <si>
    <t>A-B 00308</t>
  </si>
  <si>
    <t>Cygnus columbianus</t>
    <phoneticPr fontId="2"/>
  </si>
  <si>
    <t>A-B 00310</t>
  </si>
  <si>
    <t>ゴイサギ</t>
    <phoneticPr fontId="9"/>
  </si>
  <si>
    <t>A-B 00321</t>
  </si>
  <si>
    <t>A-B 00322</t>
  </si>
  <si>
    <t>トラツグミ</t>
    <phoneticPr fontId="2"/>
  </si>
  <si>
    <t>A-B 00323</t>
  </si>
  <si>
    <t>A-B 00324</t>
  </si>
  <si>
    <t>コウノトリ</t>
    <phoneticPr fontId="2"/>
  </si>
  <si>
    <t>Ciconia boyciana</t>
    <phoneticPr fontId="2"/>
  </si>
  <si>
    <t>A-B 00325</t>
  </si>
  <si>
    <t>A-B 00326</t>
  </si>
  <si>
    <t>カワラヒワ</t>
    <phoneticPr fontId="2"/>
  </si>
  <si>
    <t>Chloris sinica</t>
    <phoneticPr fontId="2"/>
  </si>
  <si>
    <t>A-B 00327</t>
  </si>
  <si>
    <t>A-B 00328</t>
  </si>
  <si>
    <t>ツグミ</t>
    <phoneticPr fontId="2"/>
  </si>
  <si>
    <t>Turdus eunomus</t>
  </si>
  <si>
    <t>A-B 00329</t>
  </si>
  <si>
    <t>メス？</t>
    <phoneticPr fontId="2"/>
  </si>
  <si>
    <t>A-B 00336</t>
    <phoneticPr fontId="2"/>
  </si>
  <si>
    <t>ヒメウ</t>
    <phoneticPr fontId="2"/>
  </si>
  <si>
    <t>Urile pelagicus</t>
  </si>
  <si>
    <t>Aptenodytes patagonicus</t>
  </si>
  <si>
    <t>A-B 00339</t>
  </si>
  <si>
    <t>オウサマペンギン</t>
    <phoneticPr fontId="2"/>
  </si>
  <si>
    <t>A-B 00350</t>
  </si>
  <si>
    <t>A-B 00417</t>
  </si>
  <si>
    <t>ユリカモメ</t>
    <phoneticPr fontId="2"/>
  </si>
  <si>
    <t>Chroicocephalus ridibundus</t>
  </si>
  <si>
    <t>A-B 00418</t>
  </si>
  <si>
    <t>コジュケイ</t>
    <phoneticPr fontId="2"/>
  </si>
  <si>
    <t>Bambusicola thoracicus</t>
  </si>
  <si>
    <t>A-B 00419</t>
  </si>
  <si>
    <t>アカエリカイツブリ</t>
    <phoneticPr fontId="2"/>
  </si>
  <si>
    <t>Podiceps grisegena</t>
  </si>
  <si>
    <t>画像</t>
    <phoneticPr fontId="2"/>
  </si>
  <si>
    <t>Elaphe climacophora</t>
  </si>
  <si>
    <t>アオダイショウ</t>
  </si>
  <si>
    <t>Caretta caretta</t>
  </si>
  <si>
    <t>A-C 00059</t>
  </si>
  <si>
    <t>A-C 00061</t>
  </si>
  <si>
    <t>ザラクビオオトカゲ</t>
  </si>
  <si>
    <t>Varanus rudicollis</t>
  </si>
  <si>
    <t>A-C 00062</t>
  </si>
  <si>
    <t>A-C 00063</t>
  </si>
  <si>
    <t>アメリカアリゲーター</t>
  </si>
  <si>
    <t>Alligator mississippiensis</t>
  </si>
  <si>
    <t>A-C 00064</t>
  </si>
  <si>
    <t>アオウミガメ</t>
  </si>
  <si>
    <t>Chelonia mydas</t>
  </si>
  <si>
    <t>A-C 00065</t>
  </si>
  <si>
    <t>サバンナオオトカゲ</t>
  </si>
  <si>
    <t>Varanus exanthematicus</t>
  </si>
  <si>
    <t>A-C 00066</t>
  </si>
  <si>
    <t>アカウミガメ</t>
  </si>
  <si>
    <t>A-C 00067</t>
  </si>
  <si>
    <t>グリーンアノール</t>
  </si>
  <si>
    <t>Anolis carolinensis</t>
  </si>
  <si>
    <t>タイマイ</t>
  </si>
  <si>
    <t>Eretmochelys imbricata</t>
  </si>
  <si>
    <t>A-C 00069</t>
  </si>
  <si>
    <t>ニホンマムシ模型標本</t>
    <rPh sb="6" eb="8">
      <t>モケイ</t>
    </rPh>
    <rPh sb="8" eb="10">
      <t>ヒョウホン</t>
    </rPh>
    <phoneticPr fontId="16"/>
  </si>
  <si>
    <t>レプリカ</t>
  </si>
  <si>
    <t>Gloydius blomhoffii</t>
  </si>
  <si>
    <t>A-C 00070</t>
  </si>
  <si>
    <t>A-C 00073</t>
  </si>
  <si>
    <t>ワニガメ</t>
  </si>
  <si>
    <t>Macrochelys temminckii</t>
  </si>
  <si>
    <t>1展</t>
    <rPh sb="1" eb="2">
      <t>テン</t>
    </rPh>
    <phoneticPr fontId="3"/>
  </si>
  <si>
    <t>A-C 00074</t>
  </si>
  <si>
    <t>ミシシッピアカミミガメ</t>
  </si>
  <si>
    <t>Trachemys scripta elegans</t>
  </si>
  <si>
    <t>A-C 00075</t>
  </si>
  <si>
    <t>骨格</t>
    <rPh sb="0" eb="2">
      <t>コッカク</t>
    </rPh>
    <phoneticPr fontId="3"/>
  </si>
  <si>
    <t>A-C 00076</t>
  </si>
  <si>
    <t>マレーガビアル</t>
  </si>
  <si>
    <t>顎</t>
    <rPh sb="0" eb="1">
      <t>アゴ</t>
    </rPh>
    <phoneticPr fontId="3"/>
  </si>
  <si>
    <t>Tomistoma schlegelii</t>
  </si>
  <si>
    <t>A-C 00077</t>
  </si>
  <si>
    <t>A-C 00078</t>
  </si>
  <si>
    <t>A-C 00079</t>
  </si>
  <si>
    <t>和名</t>
    <rPh sb="0" eb="2">
      <t>ワメイ</t>
    </rPh>
    <phoneticPr fontId="2"/>
  </si>
  <si>
    <t>A-D 00015</t>
  </si>
  <si>
    <t>アズマヒキガエル</t>
    <phoneticPr fontId="2"/>
  </si>
  <si>
    <t>Bufo formosus</t>
    <phoneticPr fontId="2"/>
  </si>
  <si>
    <t>A-D 00016</t>
  </si>
  <si>
    <t>ウシガエル</t>
    <phoneticPr fontId="2"/>
  </si>
  <si>
    <t>Lithobates catesbeianus</t>
    <phoneticPr fontId="2"/>
  </si>
  <si>
    <t>A-E 00460</t>
  </si>
  <si>
    <t>チョウセンバカマ</t>
  </si>
  <si>
    <t>Banjos banjos banjos</t>
  </si>
  <si>
    <t>A-E 00461</t>
  </si>
  <si>
    <t>マアジ</t>
  </si>
  <si>
    <t>Trachurus japonicus</t>
  </si>
  <si>
    <t>A-E 00462</t>
  </si>
  <si>
    <t>メバル</t>
  </si>
  <si>
    <t>Sebastes inermis</t>
  </si>
  <si>
    <t>A-E 00463</t>
  </si>
  <si>
    <t>マイワシ</t>
  </si>
  <si>
    <t>Sardinops melanostictus</t>
  </si>
  <si>
    <t>A-E 00464</t>
  </si>
  <si>
    <t>ウミタナゴ</t>
    <phoneticPr fontId="2"/>
  </si>
  <si>
    <t>Ditrema temminckii temminckii</t>
  </si>
  <si>
    <t>A-E 00465</t>
  </si>
  <si>
    <t>ヒメコダイ</t>
  </si>
  <si>
    <t>Chelidoperca hirundinacea</t>
  </si>
  <si>
    <t>A-E 00466</t>
  </si>
  <si>
    <t>クロマグロ</t>
  </si>
  <si>
    <t>Thunnus orientalis</t>
  </si>
  <si>
    <t>A-E 00467</t>
  </si>
  <si>
    <t>ヒメ</t>
  </si>
  <si>
    <t>Hime japonica</t>
  </si>
  <si>
    <t>A-E 00468</t>
  </si>
  <si>
    <t>A-E 00469</t>
  </si>
  <si>
    <t>トビウオ科の一種</t>
    <rPh sb="4" eb="5">
      <t>カ</t>
    </rPh>
    <rPh sb="6" eb="8">
      <t>イチシュ</t>
    </rPh>
    <phoneticPr fontId="3"/>
  </si>
  <si>
    <t>Exocoetidae sp.</t>
  </si>
  <si>
    <t>A-E 00470</t>
  </si>
  <si>
    <t>マルソウダ</t>
    <phoneticPr fontId="2"/>
  </si>
  <si>
    <t>A-E 00471</t>
    <phoneticPr fontId="2"/>
  </si>
  <si>
    <t>キュウセン</t>
  </si>
  <si>
    <t>A-E 00472</t>
  </si>
  <si>
    <t>アラ</t>
    <phoneticPr fontId="2"/>
  </si>
  <si>
    <t>Niphon spinosus</t>
  </si>
  <si>
    <t>A-E 00473</t>
  </si>
  <si>
    <t>カワハギ</t>
  </si>
  <si>
    <t>Stephanolepis cirrhifer</t>
  </si>
  <si>
    <t>A-E 00474</t>
  </si>
  <si>
    <t>アカグツ</t>
  </si>
  <si>
    <t>Halieutaea stellata</t>
  </si>
  <si>
    <t>A-E 00475</t>
    <phoneticPr fontId="2"/>
  </si>
  <si>
    <t>シロギス</t>
  </si>
  <si>
    <t>Sillago japonica</t>
  </si>
  <si>
    <t>A-E 00476</t>
  </si>
  <si>
    <t>Exocoetidae sp.</t>
    <phoneticPr fontId="2"/>
  </si>
  <si>
    <t>A-E 00478</t>
  </si>
  <si>
    <t>アイゴ</t>
  </si>
  <si>
    <t>Siganus fuscescens</t>
  </si>
  <si>
    <t>A-E 00479</t>
  </si>
  <si>
    <t>クラカケトラギス</t>
  </si>
  <si>
    <t>Parapercis sexfasciata</t>
  </si>
  <si>
    <t>A-E 00480</t>
  </si>
  <si>
    <t>A-E 00481</t>
  </si>
  <si>
    <t>イトヨリダイ</t>
  </si>
  <si>
    <t>Nemipterus virgatus</t>
  </si>
  <si>
    <t>A-E 00482</t>
  </si>
  <si>
    <t>ヨメゴチ</t>
  </si>
  <si>
    <t>Calliurichthys japonicus</t>
  </si>
  <si>
    <t>A-E 00483</t>
  </si>
  <si>
    <t>A-E 00484</t>
  </si>
  <si>
    <t>オキトラギス</t>
  </si>
  <si>
    <t>Parapercis multifasciata</t>
  </si>
  <si>
    <t>A-E 00485</t>
  </si>
  <si>
    <t>カサゴ</t>
  </si>
  <si>
    <t>Sebastiscus marmoratus</t>
  </si>
  <si>
    <t>A-E 00486</t>
  </si>
  <si>
    <t>イラ</t>
  </si>
  <si>
    <t>Choerodon azurio</t>
  </si>
  <si>
    <t>A-E 00487</t>
  </si>
  <si>
    <t>シマイサキ</t>
  </si>
  <si>
    <t>Rhynchopelates oxyrhynchus</t>
  </si>
  <si>
    <t>A-E 00488</t>
  </si>
  <si>
    <t>ホシササノハベラ</t>
  </si>
  <si>
    <t>Pseudolabrus sieboldi</t>
  </si>
  <si>
    <t>A-E 00489</t>
  </si>
  <si>
    <t>スズキ</t>
  </si>
  <si>
    <t>Lateolabrax japonicus</t>
  </si>
  <si>
    <t>A-E 00490</t>
  </si>
  <si>
    <t>イトヒキダラ</t>
  </si>
  <si>
    <t>Laemonema longipes</t>
  </si>
  <si>
    <t>A-E 00491</t>
  </si>
  <si>
    <t>イタチウオ</t>
  </si>
  <si>
    <t>Brotula multibarbata</t>
  </si>
  <si>
    <t>A-E 00492</t>
  </si>
  <si>
    <t>A-E 00493</t>
    <phoneticPr fontId="2"/>
  </si>
  <si>
    <t>マンボウ</t>
    <phoneticPr fontId="2"/>
  </si>
  <si>
    <t>Mola mola</t>
    <phoneticPr fontId="2"/>
  </si>
  <si>
    <t>A-E 00494</t>
  </si>
  <si>
    <t>マダイ</t>
    <phoneticPr fontId="2"/>
  </si>
  <si>
    <t>Pagrus major</t>
    <phoneticPr fontId="2"/>
  </si>
  <si>
    <t>A-E 00495</t>
  </si>
  <si>
    <t>ウマヅラハギ</t>
  </si>
  <si>
    <t>Thamnaconus modestus</t>
  </si>
  <si>
    <t>A-E 00496</t>
  </si>
  <si>
    <t>ハリセンボン</t>
  </si>
  <si>
    <t>Diodon holocanthus</t>
  </si>
  <si>
    <t>A-E 00497</t>
  </si>
  <si>
    <t>ヒラメ</t>
    <phoneticPr fontId="3"/>
  </si>
  <si>
    <t>Paralichthys olivaceus</t>
  </si>
  <si>
    <t>A-E 00498</t>
  </si>
  <si>
    <t>マダイ</t>
    <phoneticPr fontId="3"/>
  </si>
  <si>
    <t>Pagrus major</t>
  </si>
  <si>
    <t>A-E 00499</t>
  </si>
  <si>
    <t>カツオ</t>
    <phoneticPr fontId="3"/>
  </si>
  <si>
    <t>Katsuwonus pelamis</t>
  </si>
  <si>
    <t>A-E 00500</t>
  </si>
  <si>
    <t>トラフグ</t>
    <phoneticPr fontId="3"/>
  </si>
  <si>
    <t>Takifugu rubripes</t>
  </si>
  <si>
    <t>A-E 00501</t>
  </si>
  <si>
    <t>ボラ</t>
    <phoneticPr fontId="3"/>
  </si>
  <si>
    <t>A-E 00502</t>
  </si>
  <si>
    <t>トクビレ</t>
    <phoneticPr fontId="3"/>
  </si>
  <si>
    <t>Podothecus sachi</t>
  </si>
  <si>
    <t>A-E 00503</t>
  </si>
  <si>
    <t>ミツクリザメ</t>
    <phoneticPr fontId="2"/>
  </si>
  <si>
    <t>Mitsukurina owstoni</t>
    <phoneticPr fontId="2"/>
  </si>
  <si>
    <t>A-E 00504</t>
  </si>
  <si>
    <t>A-E 00505</t>
  </si>
  <si>
    <t>A-E 00506</t>
  </si>
  <si>
    <t>ラブカ</t>
  </si>
  <si>
    <t>Chlamydoselachus anguineus</t>
  </si>
  <si>
    <t>A-E 00507</t>
  </si>
  <si>
    <t>ナヌカザメ</t>
  </si>
  <si>
    <t>Cephaloscyllium umbratile</t>
  </si>
  <si>
    <t>A-E 00508</t>
  </si>
  <si>
    <t>ドチザメ</t>
  </si>
  <si>
    <t>Triakis scyllium</t>
  </si>
  <si>
    <t>A-E 00509</t>
  </si>
  <si>
    <t>ネコザメ</t>
  </si>
  <si>
    <t>Heterodontus japonicus</t>
  </si>
  <si>
    <t>A-E 00510</t>
  </si>
  <si>
    <t>ネコザメ</t>
    <phoneticPr fontId="2"/>
  </si>
  <si>
    <t>A-E 00511</t>
  </si>
  <si>
    <t>マオナガ</t>
    <phoneticPr fontId="2"/>
  </si>
  <si>
    <t>Alopias vulpinus</t>
    <phoneticPr fontId="2"/>
  </si>
  <si>
    <t>A-E 00512</t>
  </si>
  <si>
    <t>ヨシキリザメ</t>
    <phoneticPr fontId="2"/>
  </si>
  <si>
    <t>Prionace glauca</t>
  </si>
  <si>
    <t>A-E 00513</t>
    <phoneticPr fontId="2"/>
  </si>
  <si>
    <t>シロシュモクザメ</t>
    <phoneticPr fontId="2"/>
  </si>
  <si>
    <t>Sphyrna zygaena</t>
  </si>
  <si>
    <t>A-E 00514</t>
  </si>
  <si>
    <t>プラスティネーション</t>
  </si>
  <si>
    <t>A-E 00515</t>
    <phoneticPr fontId="2"/>
  </si>
  <si>
    <t>顎</t>
  </si>
  <si>
    <t>A-E 00516</t>
    <phoneticPr fontId="2"/>
  </si>
  <si>
    <t>イタチザメ</t>
    <phoneticPr fontId="2"/>
  </si>
  <si>
    <t>Galeocerdo cuvier</t>
    <phoneticPr fontId="2"/>
  </si>
  <si>
    <t>A-E 00517</t>
  </si>
  <si>
    <t>ホシザメ</t>
    <phoneticPr fontId="2"/>
  </si>
  <si>
    <t>Mustelus manazo</t>
    <phoneticPr fontId="2"/>
  </si>
  <si>
    <t>A-E 00518</t>
  </si>
  <si>
    <t>Prionace glauca</t>
    <phoneticPr fontId="2"/>
  </si>
  <si>
    <t>A-E 00519</t>
  </si>
  <si>
    <t>Sphyrna zygaena</t>
    <phoneticPr fontId="2"/>
  </si>
  <si>
    <t>A-E 00520</t>
  </si>
  <si>
    <t>カマストガリザメ</t>
    <phoneticPr fontId="2"/>
  </si>
  <si>
    <t>Carcharhinus limbatus</t>
    <phoneticPr fontId="2"/>
  </si>
  <si>
    <t>A-E 00521</t>
  </si>
  <si>
    <t xml:space="preserve">Sus scrofa </t>
    <phoneticPr fontId="2"/>
  </si>
  <si>
    <t>Pteromys momonga</t>
    <phoneticPr fontId="2"/>
  </si>
  <si>
    <t>Phalanger orientalis</t>
    <phoneticPr fontId="2"/>
  </si>
  <si>
    <t>ハイイロクスクス</t>
    <phoneticPr fontId="2"/>
  </si>
  <si>
    <t>マントヒヒ</t>
    <phoneticPr fontId="2"/>
  </si>
  <si>
    <t>Notamacropus dorsalis</t>
    <phoneticPr fontId="2"/>
  </si>
  <si>
    <t xml:space="preserve">Osphranter rufus </t>
    <phoneticPr fontId="2"/>
  </si>
  <si>
    <t>A-A 00088</t>
    <phoneticPr fontId="2"/>
  </si>
  <si>
    <t>Urva javanicus</t>
    <phoneticPr fontId="2"/>
  </si>
  <si>
    <t>Notamacropus parma</t>
    <phoneticPr fontId="2"/>
  </si>
  <si>
    <t>Neophocaena asiaeorientalis</t>
    <phoneticPr fontId="2"/>
  </si>
  <si>
    <t>Terpsiphone atrocaudata</t>
    <phoneticPr fontId="2"/>
  </si>
  <si>
    <t>Corvus macrorhynchos</t>
    <phoneticPr fontId="2"/>
  </si>
  <si>
    <t>Alcedo atthis</t>
    <phoneticPr fontId="2"/>
  </si>
  <si>
    <t>Accipiter gentilis</t>
    <phoneticPr fontId="2"/>
  </si>
  <si>
    <t>Scolopax rusticola</t>
    <phoneticPr fontId="2"/>
  </si>
  <si>
    <t>Hypsipetes amaurotis</t>
    <phoneticPr fontId="2"/>
  </si>
  <si>
    <t>Accipiter gularis</t>
    <phoneticPr fontId="2"/>
  </si>
  <si>
    <t>Fulmarus glacialis</t>
    <phoneticPr fontId="2"/>
  </si>
  <si>
    <t>Milvus migrans</t>
    <phoneticPr fontId="2"/>
  </si>
  <si>
    <t>Hirundo rustica</t>
    <phoneticPr fontId="2"/>
  </si>
  <si>
    <t>Nycticorax nycticorax</t>
    <phoneticPr fontId="2"/>
  </si>
  <si>
    <t>Tauraco hartlaubi</t>
    <phoneticPr fontId="2"/>
  </si>
  <si>
    <t>Struthio camelus</t>
    <phoneticPr fontId="2"/>
  </si>
  <si>
    <t>ニホンモモンガ</t>
    <phoneticPr fontId="2"/>
  </si>
  <si>
    <t>ニシゴリラ</t>
    <phoneticPr fontId="2"/>
  </si>
  <si>
    <t>アカギツネ</t>
    <phoneticPr fontId="2"/>
  </si>
  <si>
    <t>ニホンテン</t>
    <phoneticPr fontId="2"/>
  </si>
  <si>
    <t>ニホンノウサギ</t>
    <phoneticPr fontId="2"/>
  </si>
  <si>
    <t>ニホンイタチ</t>
    <phoneticPr fontId="2"/>
  </si>
  <si>
    <t>アナグマ</t>
    <phoneticPr fontId="2"/>
  </si>
  <si>
    <t>Macaca fuscata</t>
    <phoneticPr fontId="2"/>
  </si>
  <si>
    <t>ボルネオオランウータン</t>
    <phoneticPr fontId="2"/>
  </si>
  <si>
    <t>ルーセットオオコウモリ属の一種</t>
    <rPh sb="11" eb="12">
      <t>ゾク</t>
    </rPh>
    <rPh sb="13" eb="15">
      <t>イッシュ</t>
    </rPh>
    <phoneticPr fontId="2"/>
  </si>
  <si>
    <t>ルーセットオオコウモリ属の一種</t>
    <rPh sb="11" eb="12">
      <t>ゾク</t>
    </rPh>
    <rPh sb="13" eb="15">
      <t>イッシュ</t>
    </rPh>
    <phoneticPr fontId="2"/>
  </si>
  <si>
    <t>ポト</t>
    <phoneticPr fontId="2"/>
  </si>
  <si>
    <t>スンダスローロリス</t>
    <phoneticPr fontId="2"/>
  </si>
  <si>
    <t>ミンク</t>
    <phoneticPr fontId="2"/>
  </si>
  <si>
    <t>シベリアイタチ</t>
    <phoneticPr fontId="2"/>
  </si>
  <si>
    <t>Parajulis poecileptera</t>
    <phoneticPr fontId="2"/>
  </si>
  <si>
    <t>Auxis rochei</t>
    <phoneticPr fontId="2"/>
  </si>
  <si>
    <t>Mugil cephalus cephalus</t>
  </si>
  <si>
    <r>
      <t xml:space="preserve">Isurus </t>
    </r>
    <r>
      <rPr>
        <sz val="11"/>
        <color theme="1"/>
        <rFont val="Times New Roman"/>
        <family val="1"/>
      </rPr>
      <t>sp.</t>
    </r>
    <phoneticPr fontId="2"/>
  </si>
  <si>
    <t>アオザメ属の一種</t>
    <rPh sb="4" eb="5">
      <t>ゾク</t>
    </rPh>
    <rPh sb="6" eb="8">
      <t>イッシュ</t>
    </rPh>
    <phoneticPr fontId="1"/>
  </si>
  <si>
    <t>ミズオオトカゲ属の一種</t>
    <rPh sb="7" eb="8">
      <t>ゾク</t>
    </rPh>
    <phoneticPr fontId="2"/>
  </si>
  <si>
    <r>
      <t xml:space="preserve">Varanus </t>
    </r>
    <r>
      <rPr>
        <sz val="11"/>
        <color theme="1"/>
        <rFont val="Times New Roman"/>
        <family val="1"/>
      </rPr>
      <t>sp.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</si>
</sst>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d\,mmm\,yyyy"/>
  </numFmts>
  <fonts count="21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Times New Roman"/>
      <family val="1"/>
    </font>
    <font>
      <sz val="12"/>
      <color theme="1"/>
      <name val="游ゴシック"/>
      <family val="3"/>
      <charset val="128"/>
    </font>
    <font>
      <sz val="11"/>
      <color theme="1"/>
      <name val="Arial"/>
      <family val="2"/>
    </font>
    <font>
      <sz val="11"/>
      <color theme="1"/>
      <name val="游ゴシック"/>
      <family val="3"/>
      <charset val="128"/>
      <scheme val="minor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Arial"/>
      <family val="2"/>
    </font>
    <font>
      <i/>
      <sz val="11"/>
      <name val="Times New Roman"/>
      <family val="1"/>
    </font>
    <font>
      <u/>
      <sz val="11"/>
      <color rgb="FF1F4E78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u/>
      <sz val="11"/>
      <color rgb="FF1F4E78"/>
      <name val="ＭＳ ゴシック"/>
      <family val="2"/>
      <charset val="128"/>
    </font>
    <font>
      <u/>
      <sz val="11"/>
      <color rgb="FF1F4E78"/>
      <name val="Arial"/>
      <family val="2"/>
    </font>
    <font>
      <u/>
      <sz val="11"/>
      <color rgb="FF1F4E78"/>
      <name val="Segoe UI Symbol"/>
      <family val="2"/>
    </font>
    <font>
      <u/>
      <sz val="11"/>
      <color rgb="FF1F4E78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Fill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0" fillId="0" borderId="0" xfId="0" applyFill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11" fillId="0" borderId="1" xfId="0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176" fontId="0" fillId="0" borderId="0" xfId="0" applyNumberFormat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0" fillId="0" borderId="1" xfId="0" applyBorder="1">
      <alignment vertical="center"/>
    </xf>
    <xf numFmtId="0" fontId="7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2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_&#36039;&#26009;&#12539;&#22259;&#26360;&#31649;&#29702;&#65288;&#21454;&#34101;&#12539;&#23637;&#31034;&#65289;/1_&#27161;&#26412;&#12487;&#12540;&#12479;&#12505;&#12540;&#12473;&#21270;&#38306;&#20418;/NUAVM&#30058;&#21495;&#27161;&#26412;&#25972;&#29702;&#65288;2018.5&#65405;&#65408;&#65392;&#65412;&#65289;/NUAVM%20&#30331;&#37682;&#12522;&#12473;&#12488;/A-E&#39770;&#39006;&#20837;&#21147;&#2999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_&#36039;&#26009;&#12539;&#22259;&#26360;&#31649;&#29702;&#65288;&#21454;&#34101;&#12539;&#23637;&#31034;&#65289;/1_&#27161;&#26412;&#12487;&#12540;&#12479;&#12505;&#12540;&#12473;&#21270;&#38306;&#20418;/NUAVM&#30058;&#21495;&#27161;&#26412;&#25972;&#29702;&#65288;2018.5&#65405;&#65408;&#65392;&#65412;&#65289;/NUAVM%20&#30331;&#37682;&#12522;&#12473;&#12488;/A-B&#40165;&#39006;&#20837;&#21147;&#2999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_&#36039;&#26009;&#12539;&#22259;&#26360;&#31649;&#29702;&#65288;&#21454;&#34101;&#12539;&#23637;&#31034;&#65289;/1_&#27161;&#26412;&#12487;&#12540;&#12479;&#12505;&#12540;&#12473;&#21270;&#38306;&#20418;/NUAVM&#30058;&#21495;&#27161;&#26412;&#25972;&#29702;&#65288;2018.5&#65405;&#65408;&#65392;&#65412;&#65289;/NUAVM%20&#30331;&#37682;&#12522;&#12473;&#12488;/A-A&#21754;&#20083;&#39006;&#20837;&#21147;&#2999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_&#36039;&#26009;&#12539;&#22259;&#26360;&#31649;&#29702;&#65288;&#21454;&#34101;&#12539;&#23637;&#31034;&#65289;/1_&#27161;&#26412;&#12487;&#12540;&#12479;&#12505;&#12540;&#12473;&#21270;&#38306;&#20418;/NUAVM&#30058;&#21495;&#27161;&#26412;&#25972;&#29702;&#65288;2018.5&#65405;&#65408;&#65392;&#65412;&#65289;/NUAVM%20&#30331;&#37682;&#12522;&#12473;&#12488;/A-D&#20001;&#29983;&#39006;&#20837;&#21147;&#2999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_&#36039;&#26009;&#12539;&#22259;&#26360;&#31649;&#29702;&#65288;&#21454;&#34101;&#12539;&#23637;&#31034;&#65289;/1_&#27161;&#26412;&#12487;&#12540;&#12479;&#12505;&#12540;&#12473;&#21270;&#38306;&#20418;/NUAVM&#30058;&#21495;&#27161;&#26412;&#25972;&#29702;&#65288;2018.5&#65405;&#65408;&#65392;&#65412;&#65289;/NUAVM%20&#30331;&#37682;&#12522;&#12473;&#12488;/A-C&#29228;&#34411;&#39006;&#20837;&#21147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E　魚類"/>
      <sheetName val="出力用（カード式）"/>
      <sheetName val="選択リスト"/>
      <sheetName val="出力用（インデックス）"/>
    </sheetNames>
    <sheetDataSet>
      <sheetData sheetId="0" refreshError="1"/>
      <sheetData sheetId="1" refreshError="1"/>
      <sheetData sheetId="2">
        <row r="3">
          <cell r="E3" t="str">
            <v>オス</v>
          </cell>
          <cell r="I3" t="str">
            <v>寄贈</v>
          </cell>
          <cell r="K3" t="str">
            <v>1展</v>
          </cell>
        </row>
        <row r="4">
          <cell r="E4" t="str">
            <v>メス</v>
          </cell>
          <cell r="I4" t="str">
            <v>購入</v>
          </cell>
          <cell r="K4" t="str">
            <v>3展</v>
          </cell>
        </row>
        <row r="5">
          <cell r="E5" t="str">
            <v>不明</v>
          </cell>
          <cell r="I5" t="str">
            <v>収集</v>
          </cell>
          <cell r="K5" t="str">
            <v>収1</v>
          </cell>
        </row>
        <row r="6">
          <cell r="I6" t="str">
            <v>繁殖</v>
          </cell>
          <cell r="K6" t="str">
            <v>収2</v>
          </cell>
        </row>
        <row r="7">
          <cell r="I7" t="str">
            <v>交換</v>
          </cell>
          <cell r="K7" t="str">
            <v>収3</v>
          </cell>
        </row>
        <row r="8">
          <cell r="K8" t="str">
            <v>収4</v>
          </cell>
        </row>
        <row r="9">
          <cell r="K9" t="str">
            <v>収5A</v>
          </cell>
        </row>
        <row r="10">
          <cell r="K10" t="str">
            <v>収5B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B　鳥類"/>
      <sheetName val="選択リスト"/>
      <sheetName val="出力用（カード式）"/>
      <sheetName val="出力用（インデックス）"/>
    </sheetNames>
    <sheetDataSet>
      <sheetData sheetId="0"/>
      <sheetData sheetId="1" refreshError="1">
        <row r="3">
          <cell r="E3" t="str">
            <v>オス</v>
          </cell>
          <cell r="I3" t="str">
            <v>寄贈</v>
          </cell>
          <cell r="K3" t="str">
            <v>1展</v>
          </cell>
        </row>
        <row r="4">
          <cell r="E4" t="str">
            <v>メス</v>
          </cell>
          <cell r="I4" t="str">
            <v>購入</v>
          </cell>
          <cell r="K4" t="str">
            <v>3展</v>
          </cell>
        </row>
        <row r="5">
          <cell r="E5" t="str">
            <v>不明</v>
          </cell>
          <cell r="I5" t="str">
            <v>収集</v>
          </cell>
          <cell r="K5" t="str">
            <v>収1</v>
          </cell>
        </row>
        <row r="6">
          <cell r="I6" t="str">
            <v>繁殖</v>
          </cell>
          <cell r="K6" t="str">
            <v>収2</v>
          </cell>
        </row>
        <row r="7">
          <cell r="I7" t="str">
            <v>交換</v>
          </cell>
          <cell r="K7" t="str">
            <v>収3</v>
          </cell>
        </row>
        <row r="8">
          <cell r="K8" t="str">
            <v>収4</v>
          </cell>
        </row>
        <row r="9">
          <cell r="K9" t="str">
            <v>収5A</v>
          </cell>
        </row>
        <row r="10">
          <cell r="K10" t="str">
            <v>収5B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A　哺乳類"/>
      <sheetName val="出力用（カード式）"/>
      <sheetName val="選択リスト"/>
      <sheetName val="出力用（インデックス）"/>
    </sheetNames>
    <sheetDataSet>
      <sheetData sheetId="0"/>
      <sheetData sheetId="1"/>
      <sheetData sheetId="2">
        <row r="3">
          <cell r="E3" t="str">
            <v>オス</v>
          </cell>
          <cell r="I3" t="str">
            <v>寄贈</v>
          </cell>
        </row>
        <row r="4">
          <cell r="E4" t="str">
            <v>メス</v>
          </cell>
          <cell r="I4" t="str">
            <v>購入</v>
          </cell>
        </row>
        <row r="5">
          <cell r="E5" t="str">
            <v>不明</v>
          </cell>
          <cell r="I5" t="str">
            <v>収集</v>
          </cell>
        </row>
        <row r="6">
          <cell r="I6" t="str">
            <v>繁殖</v>
          </cell>
        </row>
        <row r="7">
          <cell r="I7" t="str">
            <v>交換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D　両生類"/>
      <sheetName val="選択リスト"/>
      <sheetName val="出力用（カード式）"/>
      <sheetName val="出力用（インデックス）"/>
    </sheetNames>
    <sheetDataSet>
      <sheetData sheetId="0"/>
      <sheetData sheetId="1">
        <row r="3">
          <cell r="E3" t="str">
            <v>オス</v>
          </cell>
        </row>
        <row r="4">
          <cell r="E4" t="str">
            <v>メス</v>
          </cell>
        </row>
        <row r="5">
          <cell r="E5" t="str">
            <v>不明</v>
          </cell>
        </row>
      </sheetData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C　爬虫類"/>
      <sheetName val="選択リスト"/>
      <sheetName val="出力用（カード式）"/>
      <sheetName val="出力用（インデックス）"/>
    </sheetNames>
    <sheetDataSet>
      <sheetData sheetId="0"/>
      <sheetData sheetId="1">
        <row r="3">
          <cell r="E3" t="str">
            <v>オス</v>
          </cell>
        </row>
        <row r="4">
          <cell r="E4" t="str">
            <v>メス</v>
          </cell>
        </row>
        <row r="5">
          <cell r="E5" t="str">
            <v>不明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1AA-FD6D-4631-AA86-5D6A9D37113E}">
  <sheetPr>
    <pageSetUpPr fitToPage="1"/>
  </sheetPr>
  <dimension ref="A1:I118"/>
  <sheetViews>
    <sheetView tabSelected="1" zoomScaleNormal="100" workbookViewId="0">
      <selection activeCell="C41" sqref="C41"/>
    </sheetView>
  </sheetViews>
  <sheetFormatPr defaultRowHeight="20.100000000000001" customHeight="1" x14ac:dyDescent="0.4"/>
  <cols>
    <col min="1" max="1" width="9.75" style="53" customWidth="1"/>
    <col min="2" max="2" width="11.5" style="24" customWidth="1"/>
    <col min="3" max="3" width="27.75" style="25" customWidth="1"/>
    <col min="4" max="4" width="9" style="15"/>
    <col min="5" max="5" width="12.125" style="15" customWidth="1"/>
    <col min="6" max="6" width="18.375" style="26" customWidth="1"/>
    <col min="7" max="7" width="9" style="15"/>
    <col min="8" max="9" width="9" style="15" customWidth="1"/>
    <col min="10" max="16384" width="9" style="15"/>
  </cols>
  <sheetData>
    <row r="1" spans="1:9" s="1" customFormat="1" ht="20.100000000000001" customHeight="1" x14ac:dyDescent="0.4">
      <c r="A1" s="27" t="s">
        <v>276</v>
      </c>
      <c r="B1" s="27" t="s">
        <v>0</v>
      </c>
      <c r="C1" s="28" t="s">
        <v>277</v>
      </c>
      <c r="D1" s="28" t="s">
        <v>1</v>
      </c>
      <c r="E1" s="28" t="s">
        <v>291</v>
      </c>
      <c r="F1" s="29" t="s">
        <v>2</v>
      </c>
      <c r="G1" s="28" t="s">
        <v>3</v>
      </c>
      <c r="H1" s="28" t="s">
        <v>292</v>
      </c>
      <c r="I1" s="28" t="s">
        <v>293</v>
      </c>
    </row>
    <row r="2" spans="1:9" s="10" customFormat="1" ht="20.100000000000001" customHeight="1" x14ac:dyDescent="0.4">
      <c r="A2" s="47"/>
      <c r="B2" s="5" t="s">
        <v>6</v>
      </c>
      <c r="C2" s="6" t="s">
        <v>830</v>
      </c>
      <c r="D2" s="7" t="s">
        <v>4</v>
      </c>
      <c r="E2" s="8" t="s">
        <v>5</v>
      </c>
      <c r="F2" s="9" t="s">
        <v>807</v>
      </c>
      <c r="G2" s="8"/>
      <c r="H2" s="8" t="s">
        <v>7</v>
      </c>
      <c r="I2" s="8" t="s">
        <v>294</v>
      </c>
    </row>
    <row r="3" spans="1:9" s="10" customFormat="1" ht="20.100000000000001" customHeight="1" x14ac:dyDescent="0.4">
      <c r="A3" s="47" t="str">
        <f>HYPERLINK("https://hp.brs.nihon-u.ac.jp/~museum/doc/archive/a-a/a-a_00011_R.png","画像")</f>
        <v>画像</v>
      </c>
      <c r="B3" s="5" t="s">
        <v>278</v>
      </c>
      <c r="C3" s="6" t="s">
        <v>9</v>
      </c>
      <c r="D3" s="7" t="s">
        <v>4</v>
      </c>
      <c r="E3" s="8" t="s">
        <v>5</v>
      </c>
      <c r="F3" s="9" t="s">
        <v>10</v>
      </c>
      <c r="G3" s="8"/>
      <c r="H3" s="8" t="s">
        <v>7</v>
      </c>
      <c r="I3" s="8" t="s">
        <v>294</v>
      </c>
    </row>
    <row r="4" spans="1:9" s="10" customFormat="1" ht="20.100000000000001" customHeight="1" x14ac:dyDescent="0.4">
      <c r="A4" s="47"/>
      <c r="B4" s="5" t="s">
        <v>11</v>
      </c>
      <c r="C4" s="6" t="s">
        <v>842</v>
      </c>
      <c r="D4" s="7" t="s">
        <v>4</v>
      </c>
      <c r="E4" s="8" t="s">
        <v>5</v>
      </c>
      <c r="F4" s="9" t="s">
        <v>12</v>
      </c>
      <c r="G4" s="8"/>
      <c r="H4" s="8" t="s">
        <v>7</v>
      </c>
      <c r="I4" s="8" t="s">
        <v>294</v>
      </c>
    </row>
    <row r="5" spans="1:9" s="10" customFormat="1" ht="20.100000000000001" customHeight="1" x14ac:dyDescent="0.4">
      <c r="A5" s="47" t="str">
        <f>HYPERLINK("https://hp.brs.nihon-u.ac.jp/~museum/doc/archive/a-a/a-a_00021_R.png","画像")</f>
        <v>画像</v>
      </c>
      <c r="B5" s="5" t="s">
        <v>13</v>
      </c>
      <c r="C5" s="6" t="s">
        <v>809</v>
      </c>
      <c r="D5" s="7" t="s">
        <v>4</v>
      </c>
      <c r="E5" s="8" t="s">
        <v>5</v>
      </c>
      <c r="F5" s="9" t="s">
        <v>808</v>
      </c>
      <c r="G5" s="8"/>
      <c r="H5" s="8" t="s">
        <v>7</v>
      </c>
      <c r="I5" s="8" t="s">
        <v>294</v>
      </c>
    </row>
    <row r="6" spans="1:9" s="10" customFormat="1" ht="20.100000000000001" customHeight="1" x14ac:dyDescent="0.4">
      <c r="A6" s="48"/>
      <c r="B6" s="5" t="s">
        <v>17</v>
      </c>
      <c r="C6" s="6" t="s">
        <v>810</v>
      </c>
      <c r="D6" s="7" t="s">
        <v>4</v>
      </c>
      <c r="E6" s="8" t="s">
        <v>5</v>
      </c>
      <c r="F6" s="9" t="s">
        <v>18</v>
      </c>
      <c r="G6" s="8"/>
      <c r="H6" s="8" t="s">
        <v>7</v>
      </c>
      <c r="I6" s="8" t="s">
        <v>294</v>
      </c>
    </row>
    <row r="7" spans="1:9" ht="20.100000000000001" customHeight="1" x14ac:dyDescent="0.4">
      <c r="A7" s="49" t="str">
        <f>HYPERLINK("https://hp.brs.nihon-u.ac.jp/~museum/doc/archive/a-a/a-a_00028_R.png","画像")</f>
        <v>画像</v>
      </c>
      <c r="B7" s="11" t="s">
        <v>19</v>
      </c>
      <c r="C7" s="12" t="s">
        <v>843</v>
      </c>
      <c r="D7" s="7" t="s">
        <v>21</v>
      </c>
      <c r="E7" s="8" t="s">
        <v>5</v>
      </c>
      <c r="F7" s="13" t="s">
        <v>22</v>
      </c>
      <c r="G7" s="14"/>
      <c r="H7" s="8" t="s">
        <v>7</v>
      </c>
      <c r="I7" s="14" t="s">
        <v>294</v>
      </c>
    </row>
    <row r="8" spans="1:9" s="10" customFormat="1" ht="20.100000000000001" customHeight="1" x14ac:dyDescent="0.4">
      <c r="A8" s="47" t="str">
        <f>HYPERLINK("https://hp.brs.nihon-u.ac.jp/~museum/doc/archive/a-a/a-a_00029_R.png","画像")</f>
        <v>画像</v>
      </c>
      <c r="B8" s="5" t="s">
        <v>23</v>
      </c>
      <c r="C8" s="6" t="s">
        <v>14</v>
      </c>
      <c r="D8" s="7" t="s">
        <v>4</v>
      </c>
      <c r="E8" s="8" t="s">
        <v>5</v>
      </c>
      <c r="F8" s="9" t="s">
        <v>15</v>
      </c>
      <c r="G8" s="8" t="s">
        <v>24</v>
      </c>
      <c r="H8" s="8" t="s">
        <v>7</v>
      </c>
      <c r="I8" s="8" t="s">
        <v>294</v>
      </c>
    </row>
    <row r="9" spans="1:9" s="10" customFormat="1" ht="20.100000000000001" customHeight="1" x14ac:dyDescent="0.4">
      <c r="A9" s="47" t="str">
        <f>HYPERLINK("https://hp.brs.nihon-u.ac.jp/~museum/doc/archive/a-a/a-a_00033_R.png","画像")</f>
        <v>画像</v>
      </c>
      <c r="B9" s="5" t="s">
        <v>25</v>
      </c>
      <c r="C9" s="6" t="s">
        <v>26</v>
      </c>
      <c r="D9" s="7" t="s">
        <v>4</v>
      </c>
      <c r="E9" s="8" t="s">
        <v>5</v>
      </c>
      <c r="F9" s="9" t="s">
        <v>27</v>
      </c>
      <c r="G9" s="8" t="s">
        <v>24</v>
      </c>
      <c r="H9" s="8" t="s">
        <v>7</v>
      </c>
      <c r="I9" s="8" t="s">
        <v>294</v>
      </c>
    </row>
    <row r="10" spans="1:9" s="10" customFormat="1" ht="20.100000000000001" customHeight="1" x14ac:dyDescent="0.4">
      <c r="A10" s="47"/>
      <c r="B10" s="5" t="s">
        <v>28</v>
      </c>
      <c r="C10" s="6" t="s">
        <v>26</v>
      </c>
      <c r="D10" s="7" t="s">
        <v>4</v>
      </c>
      <c r="E10" s="8" t="s">
        <v>5</v>
      </c>
      <c r="F10" s="9" t="s">
        <v>27</v>
      </c>
      <c r="G10" s="8" t="s">
        <v>16</v>
      </c>
      <c r="H10" s="8" t="s">
        <v>7</v>
      </c>
      <c r="I10" s="8" t="s">
        <v>294</v>
      </c>
    </row>
    <row r="11" spans="1:9" s="10" customFormat="1" ht="20.100000000000001" customHeight="1" x14ac:dyDescent="0.4">
      <c r="A11" s="47"/>
      <c r="B11" s="5" t="s">
        <v>29</v>
      </c>
      <c r="C11" s="6" t="s">
        <v>30</v>
      </c>
      <c r="D11" s="7" t="s">
        <v>4</v>
      </c>
      <c r="E11" s="8" t="s">
        <v>31</v>
      </c>
      <c r="F11" s="9" t="s">
        <v>32</v>
      </c>
      <c r="G11" s="8"/>
      <c r="H11" s="8" t="s">
        <v>7</v>
      </c>
      <c r="I11" s="8" t="s">
        <v>294</v>
      </c>
    </row>
    <row r="12" spans="1:9" s="10" customFormat="1" ht="20.100000000000001" customHeight="1" x14ac:dyDescent="0.4">
      <c r="A12" s="47" t="str">
        <f>HYPERLINK("https://hp.brs.nihon-u.ac.jp/~museum/doc/archive/a-a/a-a_00037_R.png","画像")</f>
        <v>画像</v>
      </c>
      <c r="B12" s="5" t="s">
        <v>33</v>
      </c>
      <c r="C12" s="8" t="s">
        <v>34</v>
      </c>
      <c r="D12" s="7" t="s">
        <v>4</v>
      </c>
      <c r="E12" s="8" t="s">
        <v>31</v>
      </c>
      <c r="F12" s="9" t="s">
        <v>35</v>
      </c>
      <c r="G12" s="8"/>
      <c r="H12" s="8" t="s">
        <v>7</v>
      </c>
      <c r="I12" s="8" t="s">
        <v>294</v>
      </c>
    </row>
    <row r="13" spans="1:9" s="10" customFormat="1" ht="20.100000000000001" customHeight="1" x14ac:dyDescent="0.4">
      <c r="A13" s="47"/>
      <c r="B13" s="5" t="s">
        <v>36</v>
      </c>
      <c r="C13" s="6" t="s">
        <v>831</v>
      </c>
      <c r="D13" s="7" t="s">
        <v>4</v>
      </c>
      <c r="E13" s="8" t="s">
        <v>31</v>
      </c>
      <c r="F13" s="9" t="s">
        <v>37</v>
      </c>
      <c r="G13" s="8"/>
      <c r="H13" s="8" t="s">
        <v>7</v>
      </c>
      <c r="I13" s="8" t="s">
        <v>294</v>
      </c>
    </row>
    <row r="14" spans="1:9" s="10" customFormat="1" ht="20.100000000000001" customHeight="1" x14ac:dyDescent="0.4">
      <c r="A14" s="47"/>
      <c r="B14" s="5" t="s">
        <v>38</v>
      </c>
      <c r="C14" s="6" t="s">
        <v>39</v>
      </c>
      <c r="D14" s="7" t="s">
        <v>4</v>
      </c>
      <c r="E14" s="8" t="s">
        <v>31</v>
      </c>
      <c r="F14" s="9" t="s">
        <v>811</v>
      </c>
      <c r="G14" s="8"/>
      <c r="H14" s="8" t="s">
        <v>7</v>
      </c>
      <c r="I14" s="8" t="s">
        <v>294</v>
      </c>
    </row>
    <row r="15" spans="1:9" s="10" customFormat="1" ht="20.100000000000001" customHeight="1" x14ac:dyDescent="0.4">
      <c r="A15" s="47"/>
      <c r="B15" s="5" t="s">
        <v>40</v>
      </c>
      <c r="C15" s="6" t="s">
        <v>41</v>
      </c>
      <c r="D15" s="7" t="s">
        <v>4</v>
      </c>
      <c r="E15" s="8" t="s">
        <v>31</v>
      </c>
      <c r="F15" s="9" t="s">
        <v>42</v>
      </c>
      <c r="G15" s="8"/>
      <c r="H15" s="8" t="s">
        <v>7</v>
      </c>
      <c r="I15" s="8" t="s">
        <v>294</v>
      </c>
    </row>
    <row r="16" spans="1:9" s="10" customFormat="1" ht="20.100000000000001" customHeight="1" x14ac:dyDescent="0.4">
      <c r="A16" s="47" t="str">
        <f>HYPERLINK("https://hp.brs.nihon-u.ac.jp/~museum/doc/archive/a-a/a-a_00050_R.png","画像")</f>
        <v>画像</v>
      </c>
      <c r="B16" s="5" t="s">
        <v>43</v>
      </c>
      <c r="C16" s="6" t="s">
        <v>44</v>
      </c>
      <c r="D16" s="7" t="s">
        <v>4</v>
      </c>
      <c r="E16" s="8" t="s">
        <v>31</v>
      </c>
      <c r="F16" s="9" t="s">
        <v>45</v>
      </c>
      <c r="G16" s="8"/>
      <c r="H16" s="8" t="s">
        <v>7</v>
      </c>
      <c r="I16" s="8" t="s">
        <v>294</v>
      </c>
    </row>
    <row r="17" spans="1:9" s="10" customFormat="1" ht="20.100000000000001" customHeight="1" x14ac:dyDescent="0.4">
      <c r="A17" s="47" t="str">
        <f>HYPERLINK("https://hp.brs.nihon-u.ac.jp/~museum/doc/archive/a-a/a-a_00052_R.png","画像")</f>
        <v>画像</v>
      </c>
      <c r="B17" s="5" t="s">
        <v>46</v>
      </c>
      <c r="C17" s="6" t="s">
        <v>47</v>
      </c>
      <c r="D17" s="7" t="s">
        <v>4</v>
      </c>
      <c r="E17" s="8" t="s">
        <v>31</v>
      </c>
      <c r="F17" s="9" t="s">
        <v>48</v>
      </c>
      <c r="G17" s="8"/>
      <c r="H17" s="8" t="s">
        <v>7</v>
      </c>
      <c r="I17" s="8" t="s">
        <v>295</v>
      </c>
    </row>
    <row r="18" spans="1:9" s="10" customFormat="1" ht="20.100000000000001" customHeight="1" x14ac:dyDescent="0.4">
      <c r="A18" s="48"/>
      <c r="B18" s="5" t="s">
        <v>50</v>
      </c>
      <c r="C18" s="6" t="s">
        <v>51</v>
      </c>
      <c r="D18" s="7" t="s">
        <v>52</v>
      </c>
      <c r="E18" s="8" t="s">
        <v>31</v>
      </c>
      <c r="F18" s="9" t="s">
        <v>53</v>
      </c>
      <c r="G18" s="8" t="s">
        <v>16</v>
      </c>
      <c r="H18" s="8" t="s">
        <v>7</v>
      </c>
      <c r="I18" s="8" t="s">
        <v>294</v>
      </c>
    </row>
    <row r="19" spans="1:9" ht="20.100000000000001" customHeight="1" x14ac:dyDescent="0.4">
      <c r="A19" s="49" t="str">
        <f>HYPERLINK("https://hp.brs.nihon-u.ac.jp/~museum/doc/archive/a-a/a-a_00066_R.png","画像")</f>
        <v>画像</v>
      </c>
      <c r="B19" s="11" t="s">
        <v>54</v>
      </c>
      <c r="C19" s="12" t="s">
        <v>20</v>
      </c>
      <c r="D19" s="7" t="s">
        <v>21</v>
      </c>
      <c r="E19" s="8" t="s">
        <v>5</v>
      </c>
      <c r="F19" s="13" t="s">
        <v>22</v>
      </c>
      <c r="G19" s="14"/>
      <c r="H19" s="8" t="s">
        <v>7</v>
      </c>
      <c r="I19" s="14" t="s">
        <v>294</v>
      </c>
    </row>
    <row r="20" spans="1:9" s="10" customFormat="1" ht="20.100000000000001" customHeight="1" x14ac:dyDescent="0.4">
      <c r="A20" s="47" t="str">
        <f>HYPERLINK("https://hp.brs.nihon-u.ac.jp/~museum/doc/archive/a-a/a-a_00067_R.png","画像")</f>
        <v>画像</v>
      </c>
      <c r="B20" s="5" t="s">
        <v>279</v>
      </c>
      <c r="C20" s="6" t="s">
        <v>55</v>
      </c>
      <c r="D20" s="7" t="s">
        <v>4</v>
      </c>
      <c r="E20" s="8" t="s">
        <v>5</v>
      </c>
      <c r="F20" s="9" t="s">
        <v>812</v>
      </c>
      <c r="G20" s="8"/>
      <c r="H20" s="8" t="s">
        <v>7</v>
      </c>
      <c r="I20" s="8" t="s">
        <v>294</v>
      </c>
    </row>
    <row r="21" spans="1:9" s="10" customFormat="1" ht="20.100000000000001" customHeight="1" x14ac:dyDescent="0.4">
      <c r="A21" s="47" t="str">
        <f>HYPERLINK("https://hp.brs.nihon-u.ac.jp/~museum/doc/archive/a-a/a-a_00068_R.png","画像")</f>
        <v>画像</v>
      </c>
      <c r="B21" s="5" t="s">
        <v>280</v>
      </c>
      <c r="C21" s="6" t="s">
        <v>56</v>
      </c>
      <c r="D21" s="7" t="s">
        <v>4</v>
      </c>
      <c r="E21" s="8" t="s">
        <v>5</v>
      </c>
      <c r="F21" s="9" t="s">
        <v>57</v>
      </c>
      <c r="G21" s="8"/>
      <c r="H21" s="8" t="s">
        <v>7</v>
      </c>
      <c r="I21" s="8" t="s">
        <v>294</v>
      </c>
    </row>
    <row r="22" spans="1:9" s="10" customFormat="1" ht="20.100000000000001" customHeight="1" x14ac:dyDescent="0.4">
      <c r="A22" s="47" t="str">
        <f>HYPERLINK("https://hp.brs.nihon-u.ac.jp/~museum/doc/archive/a-a/a-a_00069_R.png","画像")</f>
        <v>画像</v>
      </c>
      <c r="B22" s="5" t="s">
        <v>58</v>
      </c>
      <c r="C22" s="6" t="s">
        <v>59</v>
      </c>
      <c r="D22" s="7" t="s">
        <v>4</v>
      </c>
      <c r="E22" s="8" t="s">
        <v>5</v>
      </c>
      <c r="F22" s="9" t="s">
        <v>57</v>
      </c>
      <c r="G22" s="8"/>
      <c r="H22" s="8" t="s">
        <v>7</v>
      </c>
      <c r="I22" s="8" t="s">
        <v>294</v>
      </c>
    </row>
    <row r="23" spans="1:9" s="10" customFormat="1" ht="20.100000000000001" customHeight="1" x14ac:dyDescent="0.4">
      <c r="A23" s="47" t="str">
        <f>HYPERLINK("https://hp.brs.nihon-u.ac.jp/~museum/doc/archive/a-a/a-a_00070_R.png","画像")</f>
        <v>画像</v>
      </c>
      <c r="B23" s="5" t="s">
        <v>60</v>
      </c>
      <c r="C23" s="6" t="s">
        <v>34</v>
      </c>
      <c r="D23" s="7" t="s">
        <v>4</v>
      </c>
      <c r="E23" s="8" t="s">
        <v>5</v>
      </c>
      <c r="F23" s="9" t="s">
        <v>61</v>
      </c>
      <c r="G23" s="8"/>
      <c r="H23" s="8" t="s">
        <v>7</v>
      </c>
      <c r="I23" s="8" t="s">
        <v>294</v>
      </c>
    </row>
    <row r="24" spans="1:9" ht="20.100000000000001" customHeight="1" x14ac:dyDescent="0.4">
      <c r="A24" s="50"/>
      <c r="B24" s="11" t="s">
        <v>64</v>
      </c>
      <c r="C24" s="12" t="s">
        <v>62</v>
      </c>
      <c r="D24" s="7" t="s">
        <v>4</v>
      </c>
      <c r="E24" s="8" t="s">
        <v>5</v>
      </c>
      <c r="F24" s="13" t="s">
        <v>63</v>
      </c>
      <c r="G24" s="14"/>
      <c r="H24" s="8" t="s">
        <v>7</v>
      </c>
      <c r="I24" s="14" t="s">
        <v>8</v>
      </c>
    </row>
    <row r="25" spans="1:9" s="10" customFormat="1" ht="20.100000000000001" customHeight="1" x14ac:dyDescent="0.4">
      <c r="A25" s="47" t="str">
        <f>HYPERLINK("https://hp.brs.nihon-u.ac.jp/~museum/doc/archive/a-a/a-a_00073_R.png","画像")</f>
        <v>画像</v>
      </c>
      <c r="B25" s="5" t="s">
        <v>65</v>
      </c>
      <c r="C25" s="6" t="s">
        <v>66</v>
      </c>
      <c r="D25" s="7" t="s">
        <v>4</v>
      </c>
      <c r="E25" s="8" t="s">
        <v>5</v>
      </c>
      <c r="F25" s="9" t="s">
        <v>67</v>
      </c>
      <c r="G25" s="8" t="s">
        <v>16</v>
      </c>
      <c r="H25" s="8" t="s">
        <v>7</v>
      </c>
      <c r="I25" s="8" t="s">
        <v>294</v>
      </c>
    </row>
    <row r="26" spans="1:9" s="10" customFormat="1" ht="20.100000000000001" customHeight="1" x14ac:dyDescent="0.4">
      <c r="A26" s="47" t="str">
        <f>HYPERLINK("https://hp.brs.nihon-u.ac.jp/~museum/doc/archive/a-a/a-a_00074_R.png","画像")</f>
        <v>画像</v>
      </c>
      <c r="B26" s="5" t="s">
        <v>281</v>
      </c>
      <c r="C26" s="6" t="s">
        <v>66</v>
      </c>
      <c r="D26" s="7" t="s">
        <v>4</v>
      </c>
      <c r="E26" s="8" t="s">
        <v>5</v>
      </c>
      <c r="F26" s="9" t="s">
        <v>67</v>
      </c>
      <c r="G26" s="8" t="s">
        <v>24</v>
      </c>
      <c r="H26" s="8" t="s">
        <v>7</v>
      </c>
      <c r="I26" s="8" t="s">
        <v>294</v>
      </c>
    </row>
    <row r="27" spans="1:9" s="10" customFormat="1" ht="20.100000000000001" customHeight="1" x14ac:dyDescent="0.4">
      <c r="A27" s="47" t="str">
        <f>HYPERLINK("https://hp.brs.nihon-u.ac.jp/~museum/doc/archive/a-a/a-a_00075_R.png","画像")</f>
        <v>画像</v>
      </c>
      <c r="B27" s="5" t="s">
        <v>282</v>
      </c>
      <c r="C27" s="6" t="s">
        <v>68</v>
      </c>
      <c r="D27" s="7" t="s">
        <v>4</v>
      </c>
      <c r="E27" s="8" t="s">
        <v>5</v>
      </c>
      <c r="F27" s="9" t="s">
        <v>67</v>
      </c>
      <c r="G27" s="8"/>
      <c r="H27" s="8" t="s">
        <v>7</v>
      </c>
      <c r="I27" s="8" t="s">
        <v>294</v>
      </c>
    </row>
    <row r="28" spans="1:9" s="10" customFormat="1" ht="20.100000000000001" customHeight="1" x14ac:dyDescent="0.4">
      <c r="A28" s="47" t="str">
        <f>HYPERLINK("https://hp.brs.nihon-u.ac.jp/~museum/doc/archive/a-a/a-a_00076_R.png","画像")</f>
        <v>画像</v>
      </c>
      <c r="B28" s="5" t="s">
        <v>283</v>
      </c>
      <c r="C28" s="6" t="s">
        <v>69</v>
      </c>
      <c r="D28" s="7" t="s">
        <v>4</v>
      </c>
      <c r="E28" s="8" t="s">
        <v>5</v>
      </c>
      <c r="F28" s="9" t="s">
        <v>70</v>
      </c>
      <c r="G28" s="8"/>
      <c r="H28" s="8" t="s">
        <v>7</v>
      </c>
      <c r="I28" s="8" t="s">
        <v>294</v>
      </c>
    </row>
    <row r="29" spans="1:9" s="10" customFormat="1" ht="20.100000000000001" customHeight="1" x14ac:dyDescent="0.4">
      <c r="A29" s="47" t="str">
        <f>HYPERLINK("https://hp.brs.nihon-u.ac.jp/~museum/doc/archive/a-a/a-a_00077_R.png","画像")</f>
        <v>画像</v>
      </c>
      <c r="B29" s="5" t="s">
        <v>284</v>
      </c>
      <c r="C29" s="6" t="s">
        <v>71</v>
      </c>
      <c r="D29" s="7" t="s">
        <v>4</v>
      </c>
      <c r="E29" s="8" t="s">
        <v>5</v>
      </c>
      <c r="F29" s="9" t="s">
        <v>72</v>
      </c>
      <c r="G29" s="8" t="s">
        <v>24</v>
      </c>
      <c r="H29" s="8" t="s">
        <v>7</v>
      </c>
      <c r="I29" s="8" t="s">
        <v>294</v>
      </c>
    </row>
    <row r="30" spans="1:9" s="10" customFormat="1" ht="20.100000000000001" customHeight="1" x14ac:dyDescent="0.4">
      <c r="A30" s="47" t="str">
        <f>HYPERLINK("https://hp.brs.nihon-u.ac.jp/~museum/doc/archive/a-a/a-a_00078_R.png","画像")</f>
        <v>画像</v>
      </c>
      <c r="B30" s="5" t="s">
        <v>285</v>
      </c>
      <c r="C30" s="8" t="s">
        <v>73</v>
      </c>
      <c r="D30" s="7" t="s">
        <v>4</v>
      </c>
      <c r="E30" s="8" t="s">
        <v>5</v>
      </c>
      <c r="F30" s="9" t="s">
        <v>74</v>
      </c>
      <c r="G30" s="8" t="s">
        <v>24</v>
      </c>
      <c r="H30" s="8" t="s">
        <v>7</v>
      </c>
      <c r="I30" s="8" t="s">
        <v>294</v>
      </c>
    </row>
    <row r="31" spans="1:9" s="10" customFormat="1" ht="20.100000000000001" customHeight="1" x14ac:dyDescent="0.4">
      <c r="A31" s="47" t="str">
        <f>HYPERLINK("https://hp.brs.nihon-u.ac.jp/~museum/doc/archive/a-a/a-a_00079_R.png","画像")</f>
        <v>画像</v>
      </c>
      <c r="B31" s="5" t="s">
        <v>286</v>
      </c>
      <c r="C31" s="6" t="s">
        <v>75</v>
      </c>
      <c r="D31" s="7" t="s">
        <v>4</v>
      </c>
      <c r="E31" s="8" t="s">
        <v>5</v>
      </c>
      <c r="F31" s="9" t="s">
        <v>76</v>
      </c>
      <c r="G31" s="8"/>
      <c r="H31" s="8" t="s">
        <v>7</v>
      </c>
      <c r="I31" s="8" t="s">
        <v>294</v>
      </c>
    </row>
    <row r="32" spans="1:9" s="19" customFormat="1" ht="20.100000000000001" customHeight="1" x14ac:dyDescent="0.4">
      <c r="A32" s="47" t="str">
        <f>HYPERLINK("https://hp.brs.nihon-u.ac.jp/~museum/doc/archive/a-a/a-a_00080_R.png","画像")</f>
        <v>画像</v>
      </c>
      <c r="B32" s="5" t="s">
        <v>287</v>
      </c>
      <c r="C32" s="16" t="s">
        <v>832</v>
      </c>
      <c r="D32" s="17" t="s">
        <v>4</v>
      </c>
      <c r="E32" s="18" t="s">
        <v>5</v>
      </c>
      <c r="F32" s="9" t="s">
        <v>77</v>
      </c>
      <c r="G32" s="18"/>
      <c r="H32" s="18" t="s">
        <v>7</v>
      </c>
      <c r="I32" s="18" t="s">
        <v>294</v>
      </c>
    </row>
    <row r="33" spans="1:9" s="10" customFormat="1" ht="20.100000000000001" customHeight="1" x14ac:dyDescent="0.4">
      <c r="A33" s="51" t="str">
        <f>HYPERLINK("https://hp.brs.nihon-u.ac.jp/~museum/doc/archive/a-a/a-a_00081_R.png","画像")</f>
        <v>画像</v>
      </c>
      <c r="B33" s="11" t="s">
        <v>288</v>
      </c>
      <c r="C33" s="6" t="s">
        <v>78</v>
      </c>
      <c r="D33" s="7" t="s">
        <v>4</v>
      </c>
      <c r="E33" s="8" t="s">
        <v>5</v>
      </c>
      <c r="F33" s="9" t="s">
        <v>806</v>
      </c>
      <c r="G33" s="8"/>
      <c r="H33" s="8" t="s">
        <v>7</v>
      </c>
      <c r="I33" s="8" t="s">
        <v>294</v>
      </c>
    </row>
    <row r="34" spans="1:9" s="10" customFormat="1" ht="20.100000000000001" customHeight="1" x14ac:dyDescent="0.4">
      <c r="A34" s="47" t="str">
        <f>HYPERLINK("https://hp.brs.nihon-u.ac.jp/~museum/doc/archive/a-a/a-a_00082_R.png","画像")</f>
        <v>画像</v>
      </c>
      <c r="B34" s="5" t="s">
        <v>79</v>
      </c>
      <c r="C34" s="6" t="s">
        <v>833</v>
      </c>
      <c r="D34" s="7" t="s">
        <v>4</v>
      </c>
      <c r="E34" s="8" t="s">
        <v>5</v>
      </c>
      <c r="F34" s="9" t="s">
        <v>80</v>
      </c>
      <c r="G34" s="8"/>
      <c r="H34" s="8" t="s">
        <v>7</v>
      </c>
      <c r="I34" s="8" t="s">
        <v>294</v>
      </c>
    </row>
    <row r="35" spans="1:9" s="10" customFormat="1" ht="20.100000000000001" customHeight="1" x14ac:dyDescent="0.4">
      <c r="A35" s="47" t="str">
        <f>HYPERLINK("https://hp.brs.nihon-u.ac.jp/~museum/doc/archive/a-a/a-a_00083_R.png","画像")</f>
        <v>画像</v>
      </c>
      <c r="B35" s="5" t="s">
        <v>81</v>
      </c>
      <c r="C35" s="6" t="s">
        <v>834</v>
      </c>
      <c r="D35" s="7" t="s">
        <v>4</v>
      </c>
      <c r="E35" s="8" t="s">
        <v>5</v>
      </c>
      <c r="F35" s="9" t="s">
        <v>82</v>
      </c>
      <c r="G35" s="8"/>
      <c r="H35" s="8" t="s">
        <v>7</v>
      </c>
      <c r="I35" s="8" t="s">
        <v>294</v>
      </c>
    </row>
    <row r="36" spans="1:9" s="10" customFormat="1" ht="20.100000000000001" customHeight="1" x14ac:dyDescent="0.4">
      <c r="A36" s="47" t="str">
        <f>HYPERLINK("https://hp.brs.nihon-u.ac.jp/~museum/doc/archive/a-a/a-a_00084_R.png","画像")</f>
        <v>画像</v>
      </c>
      <c r="B36" s="5" t="s">
        <v>83</v>
      </c>
      <c r="C36" s="6" t="s">
        <v>84</v>
      </c>
      <c r="D36" s="7" t="s">
        <v>4</v>
      </c>
      <c r="E36" s="8" t="s">
        <v>5</v>
      </c>
      <c r="F36" s="9" t="s">
        <v>85</v>
      </c>
      <c r="G36" s="8"/>
      <c r="H36" s="8" t="s">
        <v>7</v>
      </c>
      <c r="I36" s="8" t="s">
        <v>294</v>
      </c>
    </row>
    <row r="37" spans="1:9" s="10" customFormat="1" ht="20.100000000000001" customHeight="1" x14ac:dyDescent="0.4">
      <c r="A37" s="47" t="str">
        <f>HYPERLINK("https://hp.brs.nihon-u.ac.jp/~museum/doc/archive/a-a/a-a_00085_R.png","画像")</f>
        <v>画像</v>
      </c>
      <c r="B37" s="5" t="s">
        <v>86</v>
      </c>
      <c r="C37" s="6" t="s">
        <v>835</v>
      </c>
      <c r="D37" s="7" t="s">
        <v>4</v>
      </c>
      <c r="E37" s="8" t="s">
        <v>5</v>
      </c>
      <c r="F37" s="9" t="s">
        <v>87</v>
      </c>
      <c r="G37" s="8"/>
      <c r="H37" s="8" t="s">
        <v>7</v>
      </c>
      <c r="I37" s="8" t="s">
        <v>294</v>
      </c>
    </row>
    <row r="38" spans="1:9" s="20" customFormat="1" ht="20.100000000000001" customHeight="1" x14ac:dyDescent="0.4">
      <c r="A38" s="47" t="str">
        <f>HYPERLINK("https://hp.brs.nihon-u.ac.jp/~museum/doc/archive/a-a/a-a_00086_R.png","画像")</f>
        <v>画像</v>
      </c>
      <c r="B38" s="5" t="s">
        <v>88</v>
      </c>
      <c r="C38" s="6" t="s">
        <v>296</v>
      </c>
      <c r="D38" s="7" t="s">
        <v>4</v>
      </c>
      <c r="E38" s="8" t="s">
        <v>5</v>
      </c>
      <c r="F38" s="9" t="s">
        <v>89</v>
      </c>
      <c r="G38" s="8"/>
      <c r="H38" s="8" t="s">
        <v>7</v>
      </c>
      <c r="I38" s="8" t="s">
        <v>294</v>
      </c>
    </row>
    <row r="39" spans="1:9" s="20" customFormat="1" ht="20.100000000000001" customHeight="1" x14ac:dyDescent="0.4">
      <c r="A39" s="47" t="str">
        <f>HYPERLINK("https://hp.brs.nihon-u.ac.jp/~museum/doc/archive/a-a/a-a_00087_R.png","画像")</f>
        <v>画像</v>
      </c>
      <c r="B39" s="5" t="s">
        <v>90</v>
      </c>
      <c r="C39" s="8" t="s">
        <v>836</v>
      </c>
      <c r="D39" s="7" t="s">
        <v>4</v>
      </c>
      <c r="E39" s="8" t="s">
        <v>5</v>
      </c>
      <c r="F39" s="9" t="s">
        <v>91</v>
      </c>
      <c r="G39" s="8"/>
      <c r="H39" s="8" t="s">
        <v>7</v>
      </c>
      <c r="I39" s="8" t="s">
        <v>294</v>
      </c>
    </row>
    <row r="40" spans="1:9" s="10" customFormat="1" ht="20.100000000000001" customHeight="1" x14ac:dyDescent="0.4">
      <c r="A40" s="47" t="str">
        <f>HYPERLINK("https://hp.brs.nihon-u.ac.jp/~museum/doc/archive/a-a/a-a_00088_R.png","画像")</f>
        <v>画像</v>
      </c>
      <c r="B40" s="5" t="s">
        <v>813</v>
      </c>
      <c r="C40" s="6" t="s">
        <v>844</v>
      </c>
      <c r="D40" s="7" t="s">
        <v>4</v>
      </c>
      <c r="E40" s="8" t="s">
        <v>5</v>
      </c>
      <c r="F40" s="9" t="s">
        <v>92</v>
      </c>
      <c r="G40" s="8"/>
      <c r="H40" s="8" t="s">
        <v>7</v>
      </c>
      <c r="I40" s="8" t="s">
        <v>294</v>
      </c>
    </row>
    <row r="41" spans="1:9" s="10" customFormat="1" ht="20.100000000000001" customHeight="1" x14ac:dyDescent="0.4">
      <c r="A41" s="49" t="str">
        <f>HYPERLINK("https://hp.brs.nihon-u.ac.jp/~museum/doc/archive/a-a/a-a_00090_R.png","画像")</f>
        <v>画像</v>
      </c>
      <c r="B41" s="11" t="s">
        <v>93</v>
      </c>
      <c r="C41" s="6" t="s">
        <v>94</v>
      </c>
      <c r="D41" s="7" t="s">
        <v>4</v>
      </c>
      <c r="E41" s="8" t="s">
        <v>5</v>
      </c>
      <c r="F41" s="9" t="s">
        <v>95</v>
      </c>
      <c r="G41" s="8"/>
      <c r="H41" s="8" t="s">
        <v>7</v>
      </c>
      <c r="I41" s="8" t="s">
        <v>294</v>
      </c>
    </row>
    <row r="42" spans="1:9" s="10" customFormat="1" ht="20.100000000000001" customHeight="1" x14ac:dyDescent="0.4">
      <c r="A42" s="49"/>
      <c r="B42" s="11" t="s">
        <v>96</v>
      </c>
      <c r="C42" s="6" t="s">
        <v>97</v>
      </c>
      <c r="D42" s="7" t="s">
        <v>4</v>
      </c>
      <c r="E42" s="8" t="s">
        <v>5</v>
      </c>
      <c r="F42" s="9" t="s">
        <v>98</v>
      </c>
      <c r="G42" s="8"/>
      <c r="H42" s="8" t="s">
        <v>7</v>
      </c>
      <c r="I42" s="8" t="s">
        <v>294</v>
      </c>
    </row>
    <row r="43" spans="1:9" s="10" customFormat="1" ht="20.100000000000001" customHeight="1" x14ac:dyDescent="0.4">
      <c r="A43" s="52" t="str">
        <f>HYPERLINK("https://hp.brs.nihon-u.ac.jp/~museum/doc/archive/a-a/a-a_00094_R.png","画像")</f>
        <v>画像</v>
      </c>
      <c r="B43" s="5" t="s">
        <v>99</v>
      </c>
      <c r="C43" s="6" t="s">
        <v>100</v>
      </c>
      <c r="D43" s="7" t="s">
        <v>4</v>
      </c>
      <c r="E43" s="8" t="s">
        <v>5</v>
      </c>
      <c r="F43" s="9" t="s">
        <v>101</v>
      </c>
      <c r="G43" s="8"/>
      <c r="H43" s="8" t="s">
        <v>7</v>
      </c>
      <c r="I43" s="8" t="s">
        <v>294</v>
      </c>
    </row>
    <row r="44" spans="1:9" s="10" customFormat="1" ht="20.100000000000001" customHeight="1" x14ac:dyDescent="0.4">
      <c r="A44" s="47" t="str">
        <f>HYPERLINK("https://hp.brs.nihon-u.ac.jp/~museum/doc/archive/a-a/a-a_00095_R.png","画像")</f>
        <v>画像</v>
      </c>
      <c r="B44" s="5" t="s">
        <v>102</v>
      </c>
      <c r="C44" s="6" t="s">
        <v>103</v>
      </c>
      <c r="D44" s="7" t="s">
        <v>4</v>
      </c>
      <c r="E44" s="8" t="s">
        <v>5</v>
      </c>
      <c r="F44" s="9" t="s">
        <v>104</v>
      </c>
      <c r="G44" s="8"/>
      <c r="H44" s="8" t="s">
        <v>7</v>
      </c>
      <c r="I44" s="8" t="s">
        <v>294</v>
      </c>
    </row>
    <row r="45" spans="1:9" s="10" customFormat="1" ht="20.100000000000001" customHeight="1" x14ac:dyDescent="0.4">
      <c r="A45" s="47"/>
      <c r="B45" s="5" t="s">
        <v>105</v>
      </c>
      <c r="C45" s="6" t="s">
        <v>106</v>
      </c>
      <c r="D45" s="7" t="s">
        <v>4</v>
      </c>
      <c r="E45" s="8" t="s">
        <v>5</v>
      </c>
      <c r="F45" s="9" t="s">
        <v>107</v>
      </c>
      <c r="G45" s="8"/>
      <c r="H45" s="8" t="s">
        <v>7</v>
      </c>
      <c r="I45" s="8" t="s">
        <v>294</v>
      </c>
    </row>
    <row r="46" spans="1:9" s="10" customFormat="1" ht="20.100000000000001" customHeight="1" x14ac:dyDescent="0.4">
      <c r="A46" s="47" t="str">
        <f>HYPERLINK("https://hp.brs.nihon-u.ac.jp/~museum/doc/archive/a-a/a-a_00098_R.png","画像")</f>
        <v>画像</v>
      </c>
      <c r="B46" s="5" t="s">
        <v>108</v>
      </c>
      <c r="C46" s="6" t="s">
        <v>109</v>
      </c>
      <c r="D46" s="7" t="s">
        <v>4</v>
      </c>
      <c r="E46" s="8" t="s">
        <v>5</v>
      </c>
      <c r="F46" s="9" t="s">
        <v>110</v>
      </c>
      <c r="G46" s="8"/>
      <c r="H46" s="8" t="s">
        <v>7</v>
      </c>
      <c r="I46" s="8" t="s">
        <v>294</v>
      </c>
    </row>
    <row r="47" spans="1:9" s="10" customFormat="1" ht="20.100000000000001" customHeight="1" x14ac:dyDescent="0.4">
      <c r="A47" s="47" t="str">
        <f>HYPERLINK("https://hp.brs.nihon-u.ac.jp/~museum/doc/archive/a-a/a-a_00099_R.png","画像")</f>
        <v>画像</v>
      </c>
      <c r="B47" s="5" t="s">
        <v>111</v>
      </c>
      <c r="C47" s="6" t="s">
        <v>112</v>
      </c>
      <c r="D47" s="7" t="s">
        <v>4</v>
      </c>
      <c r="E47" s="8" t="s">
        <v>5</v>
      </c>
      <c r="F47" s="9" t="s">
        <v>113</v>
      </c>
      <c r="G47" s="8"/>
      <c r="H47" s="8" t="s">
        <v>7</v>
      </c>
      <c r="I47" s="8" t="s">
        <v>294</v>
      </c>
    </row>
    <row r="48" spans="1:9" s="20" customFormat="1" ht="20.100000000000001" customHeight="1" x14ac:dyDescent="0.4">
      <c r="A48" s="47"/>
      <c r="B48" s="5" t="s">
        <v>114</v>
      </c>
      <c r="C48" s="8" t="s">
        <v>115</v>
      </c>
      <c r="D48" s="7" t="s">
        <v>4</v>
      </c>
      <c r="E48" s="8" t="s">
        <v>5</v>
      </c>
      <c r="F48" s="21" t="s">
        <v>116</v>
      </c>
      <c r="G48" s="8"/>
      <c r="H48" s="8" t="s">
        <v>7</v>
      </c>
      <c r="I48" s="8" t="s">
        <v>294</v>
      </c>
    </row>
    <row r="49" spans="1:9" s="10" customFormat="1" ht="20.100000000000001" customHeight="1" x14ac:dyDescent="0.4">
      <c r="A49" s="47"/>
      <c r="B49" s="5" t="s">
        <v>117</v>
      </c>
      <c r="C49" s="6" t="s">
        <v>118</v>
      </c>
      <c r="D49" s="7" t="s">
        <v>4</v>
      </c>
      <c r="E49" s="8" t="s">
        <v>5</v>
      </c>
      <c r="F49" s="21" t="s">
        <v>119</v>
      </c>
      <c r="G49" s="8"/>
      <c r="H49" s="8" t="s">
        <v>7</v>
      </c>
      <c r="I49" s="8" t="s">
        <v>294</v>
      </c>
    </row>
    <row r="50" spans="1:9" ht="20.100000000000001" customHeight="1" x14ac:dyDescent="0.4">
      <c r="A50" s="49" t="str">
        <f>HYPERLINK("https://hp.brs.nihon-u.ac.jp/~museum/doc/archive/a-a/a-a_00105_R.png","画像")</f>
        <v>画像</v>
      </c>
      <c r="B50" s="11" t="s">
        <v>120</v>
      </c>
      <c r="C50" s="12" t="s">
        <v>121</v>
      </c>
      <c r="D50" s="7" t="s">
        <v>52</v>
      </c>
      <c r="E50" s="8" t="s">
        <v>5</v>
      </c>
      <c r="F50" s="13" t="s">
        <v>122</v>
      </c>
      <c r="G50" s="14" t="s">
        <v>24</v>
      </c>
      <c r="H50" s="8" t="s">
        <v>7</v>
      </c>
      <c r="I50" s="14" t="s">
        <v>295</v>
      </c>
    </row>
    <row r="51" spans="1:9" s="10" customFormat="1" ht="20.100000000000001" customHeight="1" x14ac:dyDescent="0.4">
      <c r="A51" s="47" t="str">
        <f>HYPERLINK("https://hp.brs.nihon-u.ac.jp/~museum/doc/archive/a-a/a-a_00106_R.png","画像")</f>
        <v>画像</v>
      </c>
      <c r="B51" s="5" t="s">
        <v>123</v>
      </c>
      <c r="C51" s="6" t="s">
        <v>124</v>
      </c>
      <c r="D51" s="7" t="s">
        <v>4</v>
      </c>
      <c r="E51" s="8" t="s">
        <v>5</v>
      </c>
      <c r="F51" s="9" t="s">
        <v>125</v>
      </c>
      <c r="G51" s="8"/>
      <c r="H51" s="8" t="s">
        <v>7</v>
      </c>
      <c r="I51" s="8" t="s">
        <v>295</v>
      </c>
    </row>
    <row r="52" spans="1:9" s="10" customFormat="1" ht="20.100000000000001" customHeight="1" x14ac:dyDescent="0.4">
      <c r="A52" s="47" t="str">
        <f>HYPERLINK("https://hp.brs.nihon-u.ac.jp/~museum/doc/archive/a-a/a-a_00114_R.png","画像")</f>
        <v>画像</v>
      </c>
      <c r="B52" s="5" t="s">
        <v>126</v>
      </c>
      <c r="C52" s="6" t="s">
        <v>127</v>
      </c>
      <c r="D52" s="7" t="s">
        <v>4</v>
      </c>
      <c r="E52" s="8" t="s">
        <v>31</v>
      </c>
      <c r="F52" s="9" t="s">
        <v>128</v>
      </c>
      <c r="G52" s="8"/>
      <c r="H52" s="8" t="s">
        <v>7</v>
      </c>
      <c r="I52" s="8" t="s">
        <v>294</v>
      </c>
    </row>
    <row r="53" spans="1:9" s="10" customFormat="1" ht="20.100000000000001" customHeight="1" x14ac:dyDescent="0.4">
      <c r="A53" s="47" t="str">
        <f>HYPERLINK("https://hp.brs.nihon-u.ac.jp/~museum/doc/archive/a-a/a-a_00115_R.png","画像")</f>
        <v>画像</v>
      </c>
      <c r="B53" s="5" t="s">
        <v>129</v>
      </c>
      <c r="C53" s="6" t="s">
        <v>130</v>
      </c>
      <c r="D53" s="7" t="s">
        <v>4</v>
      </c>
      <c r="E53" s="8" t="s">
        <v>31</v>
      </c>
      <c r="F53" s="9" t="s">
        <v>131</v>
      </c>
      <c r="G53" s="8"/>
      <c r="H53" s="8" t="s">
        <v>7</v>
      </c>
      <c r="I53" s="8" t="s">
        <v>294</v>
      </c>
    </row>
    <row r="54" spans="1:9" s="10" customFormat="1" ht="20.100000000000001" customHeight="1" x14ac:dyDescent="0.4">
      <c r="A54" s="47" t="str">
        <f>HYPERLINK("https://hp.brs.nihon-u.ac.jp/~museum/doc/archive/a-a/a-a_00118_R.png","画像")</f>
        <v>画像</v>
      </c>
      <c r="B54" s="5" t="s">
        <v>132</v>
      </c>
      <c r="C54" s="6" t="s">
        <v>112</v>
      </c>
      <c r="D54" s="7" t="s">
        <v>4</v>
      </c>
      <c r="E54" s="8" t="s">
        <v>31</v>
      </c>
      <c r="F54" s="9" t="s">
        <v>113</v>
      </c>
      <c r="G54" s="8"/>
      <c r="H54" s="8" t="s">
        <v>7</v>
      </c>
      <c r="I54" s="8" t="s">
        <v>294</v>
      </c>
    </row>
    <row r="55" spans="1:9" s="10" customFormat="1" ht="20.100000000000001" customHeight="1" x14ac:dyDescent="0.4">
      <c r="A55" s="47" t="str">
        <f>HYPERLINK("https://hp.brs.nihon-u.ac.jp/~museum/doc/archive/a-a/a-a_00132_R.png","画像")</f>
        <v>画像</v>
      </c>
      <c r="B55" s="5" t="s">
        <v>133</v>
      </c>
      <c r="C55" s="6" t="s">
        <v>134</v>
      </c>
      <c r="D55" s="7" t="s">
        <v>4</v>
      </c>
      <c r="E55" s="8" t="s">
        <v>31</v>
      </c>
      <c r="F55" s="9" t="s">
        <v>135</v>
      </c>
      <c r="G55" s="8" t="s">
        <v>24</v>
      </c>
      <c r="H55" s="8" t="s">
        <v>7</v>
      </c>
      <c r="I55" s="8" t="s">
        <v>295</v>
      </c>
    </row>
    <row r="56" spans="1:9" s="10" customFormat="1" ht="20.100000000000001" customHeight="1" x14ac:dyDescent="0.4">
      <c r="A56" s="52"/>
      <c r="B56" s="5" t="s">
        <v>136</v>
      </c>
      <c r="C56" s="6" t="s">
        <v>137</v>
      </c>
      <c r="D56" s="7" t="s">
        <v>4</v>
      </c>
      <c r="E56" s="8" t="s">
        <v>31</v>
      </c>
      <c r="F56" s="9" t="s">
        <v>138</v>
      </c>
      <c r="G56" s="8"/>
      <c r="H56" s="8" t="s">
        <v>7</v>
      </c>
      <c r="I56" s="8" t="s">
        <v>294</v>
      </c>
    </row>
    <row r="57" spans="1:9" s="10" customFormat="1" ht="20.100000000000001" customHeight="1" x14ac:dyDescent="0.4">
      <c r="A57" s="47" t="str">
        <f>HYPERLINK("https://hp.brs.nihon-u.ac.jp/~museum/doc/archive/a-a/a-a_00134_R.png","画像")</f>
        <v>画像</v>
      </c>
      <c r="B57" s="5" t="s">
        <v>139</v>
      </c>
      <c r="C57" s="6" t="s">
        <v>140</v>
      </c>
      <c r="D57" s="7" t="s">
        <v>4</v>
      </c>
      <c r="E57" s="8" t="s">
        <v>31</v>
      </c>
      <c r="F57" s="9" t="s">
        <v>122</v>
      </c>
      <c r="G57" s="8" t="s">
        <v>24</v>
      </c>
      <c r="H57" s="8" t="s">
        <v>7</v>
      </c>
      <c r="I57" s="8" t="s">
        <v>295</v>
      </c>
    </row>
    <row r="58" spans="1:9" s="10" customFormat="1" ht="20.100000000000001" customHeight="1" x14ac:dyDescent="0.4">
      <c r="A58" s="47" t="str">
        <f>HYPERLINK("https://hp.brs.nihon-u.ac.jp/~museum/doc/archive/a-a/a-a_00135_R.png","画像")</f>
        <v>画像</v>
      </c>
      <c r="B58" s="5" t="s">
        <v>141</v>
      </c>
      <c r="C58" s="6" t="s">
        <v>142</v>
      </c>
      <c r="D58" s="7" t="s">
        <v>4</v>
      </c>
      <c r="E58" s="8" t="s">
        <v>31</v>
      </c>
      <c r="F58" s="9" t="s">
        <v>143</v>
      </c>
      <c r="G58" s="8"/>
      <c r="H58" s="8" t="s">
        <v>7</v>
      </c>
      <c r="I58" s="8" t="s">
        <v>294</v>
      </c>
    </row>
    <row r="59" spans="1:9" s="10" customFormat="1" ht="20.100000000000001" customHeight="1" x14ac:dyDescent="0.4">
      <c r="A59" s="47" t="str">
        <f>HYPERLINK("https://hp.brs.nihon-u.ac.jp/~museum/doc/archive/a-a/a-a_00136_R.png","画像")</f>
        <v>画像</v>
      </c>
      <c r="B59" s="5" t="s">
        <v>144</v>
      </c>
      <c r="C59" s="6" t="s">
        <v>145</v>
      </c>
      <c r="D59" s="7" t="s">
        <v>4</v>
      </c>
      <c r="E59" s="8" t="s">
        <v>31</v>
      </c>
      <c r="F59" s="9" t="s">
        <v>146</v>
      </c>
      <c r="G59" s="8"/>
      <c r="H59" s="8" t="s">
        <v>7</v>
      </c>
      <c r="I59" s="8" t="s">
        <v>294</v>
      </c>
    </row>
    <row r="60" spans="1:9" s="10" customFormat="1" ht="20.100000000000001" customHeight="1" x14ac:dyDescent="0.4">
      <c r="A60" s="52"/>
      <c r="B60" s="5" t="s">
        <v>147</v>
      </c>
      <c r="C60" s="6" t="s">
        <v>148</v>
      </c>
      <c r="D60" s="7" t="s">
        <v>4</v>
      </c>
      <c r="E60" s="8" t="s">
        <v>31</v>
      </c>
      <c r="F60" s="9" t="s">
        <v>149</v>
      </c>
      <c r="G60" s="8"/>
      <c r="H60" s="8" t="s">
        <v>7</v>
      </c>
      <c r="I60" s="8" t="s">
        <v>294</v>
      </c>
    </row>
    <row r="61" spans="1:9" s="10" customFormat="1" ht="20.100000000000001" customHeight="1" x14ac:dyDescent="0.4">
      <c r="A61" s="52"/>
      <c r="B61" s="5" t="s">
        <v>150</v>
      </c>
      <c r="C61" s="6" t="s">
        <v>151</v>
      </c>
      <c r="D61" s="7" t="s">
        <v>4</v>
      </c>
      <c r="E61" s="8" t="s">
        <v>31</v>
      </c>
      <c r="F61" s="9" t="s">
        <v>152</v>
      </c>
      <c r="G61" s="8"/>
      <c r="H61" s="8" t="s">
        <v>7</v>
      </c>
      <c r="I61" s="8" t="s">
        <v>294</v>
      </c>
    </row>
    <row r="62" spans="1:9" s="10" customFormat="1" ht="20.100000000000001" customHeight="1" x14ac:dyDescent="0.4">
      <c r="A62" s="47" t="str">
        <f>HYPERLINK("https://hp.brs.nihon-u.ac.jp/~museum/doc/archive/a-a/a-a_00139_R.png","画像")</f>
        <v>画像</v>
      </c>
      <c r="B62" s="5" t="s">
        <v>153</v>
      </c>
      <c r="C62" s="6" t="s">
        <v>154</v>
      </c>
      <c r="D62" s="7" t="s">
        <v>4</v>
      </c>
      <c r="E62" s="8" t="s">
        <v>31</v>
      </c>
      <c r="F62" s="9" t="s">
        <v>67</v>
      </c>
      <c r="G62" s="8"/>
      <c r="H62" s="8" t="s">
        <v>7</v>
      </c>
      <c r="I62" s="8" t="s">
        <v>294</v>
      </c>
    </row>
    <row r="63" spans="1:9" s="10" customFormat="1" ht="20.100000000000001" customHeight="1" x14ac:dyDescent="0.4">
      <c r="A63" s="47" t="str">
        <f>HYPERLINK("https://hp.brs.nihon-u.ac.jp/~museum/doc/archive/a-a/a-a_00140_R.png","画像")</f>
        <v>画像</v>
      </c>
      <c r="B63" s="5" t="s">
        <v>155</v>
      </c>
      <c r="C63" s="6" t="s">
        <v>75</v>
      </c>
      <c r="D63" s="7" t="s">
        <v>4</v>
      </c>
      <c r="E63" s="8" t="s">
        <v>31</v>
      </c>
      <c r="F63" s="9" t="s">
        <v>156</v>
      </c>
      <c r="G63" s="8" t="s">
        <v>24</v>
      </c>
      <c r="H63" s="8" t="s">
        <v>7</v>
      </c>
      <c r="I63" s="8" t="s">
        <v>294</v>
      </c>
    </row>
    <row r="64" spans="1:9" s="10" customFormat="1" ht="20.100000000000001" customHeight="1" x14ac:dyDescent="0.4">
      <c r="A64" s="47" t="str">
        <f>HYPERLINK("https://hp.brs.nihon-u.ac.jp/~museum/doc/archive/a-a/a-a_00141_R.png","画像")</f>
        <v>画像</v>
      </c>
      <c r="B64" s="5" t="s">
        <v>157</v>
      </c>
      <c r="C64" s="6" t="s">
        <v>75</v>
      </c>
      <c r="D64" s="7" t="s">
        <v>4</v>
      </c>
      <c r="E64" s="8" t="s">
        <v>31</v>
      </c>
      <c r="F64" s="9" t="s">
        <v>156</v>
      </c>
      <c r="G64" s="8" t="s">
        <v>16</v>
      </c>
      <c r="H64" s="8" t="s">
        <v>7</v>
      </c>
      <c r="I64" s="8" t="s">
        <v>294</v>
      </c>
    </row>
    <row r="65" spans="1:9" s="10" customFormat="1" ht="20.100000000000001" customHeight="1" x14ac:dyDescent="0.4">
      <c r="A65" s="47" t="str">
        <f>HYPERLINK("https://hp.brs.nihon-u.ac.jp/~museum/doc/archive/a-a/a-a_00142_R.png","画像")</f>
        <v>画像</v>
      </c>
      <c r="B65" s="5" t="s">
        <v>158</v>
      </c>
      <c r="C65" s="6" t="s">
        <v>34</v>
      </c>
      <c r="D65" s="7" t="s">
        <v>52</v>
      </c>
      <c r="E65" s="8" t="s">
        <v>31</v>
      </c>
      <c r="F65" s="9" t="s">
        <v>159</v>
      </c>
      <c r="G65" s="8"/>
      <c r="H65" s="8" t="s">
        <v>7</v>
      </c>
      <c r="I65" s="8" t="s">
        <v>294</v>
      </c>
    </row>
    <row r="66" spans="1:9" s="10" customFormat="1" ht="20.100000000000001" customHeight="1" x14ac:dyDescent="0.4">
      <c r="A66" s="47" t="str">
        <f>HYPERLINK("https://hp.brs.nihon-u.ac.jp/~museum/doc/archive/a-a/a-a_00143_R.png","画像")</f>
        <v>画像</v>
      </c>
      <c r="B66" s="5" t="s">
        <v>160</v>
      </c>
      <c r="C66" s="6" t="s">
        <v>34</v>
      </c>
      <c r="D66" s="7" t="s">
        <v>52</v>
      </c>
      <c r="E66" s="8" t="s">
        <v>31</v>
      </c>
      <c r="F66" s="9" t="s">
        <v>159</v>
      </c>
      <c r="G66" s="8" t="s">
        <v>16</v>
      </c>
      <c r="H66" s="8" t="s">
        <v>7</v>
      </c>
      <c r="I66" s="8" t="s">
        <v>294</v>
      </c>
    </row>
    <row r="67" spans="1:9" s="10" customFormat="1" ht="20.100000000000001" customHeight="1" x14ac:dyDescent="0.4">
      <c r="A67" s="47" t="str">
        <f>HYPERLINK("https://hp.brs.nihon-u.ac.jp/~museum/doc/archive/a-a/a-a_00144_R.png","画像")</f>
        <v>画像</v>
      </c>
      <c r="B67" s="5" t="s">
        <v>161</v>
      </c>
      <c r="C67" s="6" t="s">
        <v>34</v>
      </c>
      <c r="D67" s="7" t="s">
        <v>52</v>
      </c>
      <c r="E67" s="8" t="s">
        <v>31</v>
      </c>
      <c r="F67" s="9" t="s">
        <v>159</v>
      </c>
      <c r="G67" s="8" t="s">
        <v>16</v>
      </c>
      <c r="H67" s="8" t="s">
        <v>7</v>
      </c>
      <c r="I67" s="8" t="s">
        <v>294</v>
      </c>
    </row>
    <row r="68" spans="1:9" s="10" customFormat="1" ht="20.100000000000001" customHeight="1" x14ac:dyDescent="0.4">
      <c r="A68" s="47" t="str">
        <f>HYPERLINK("https://hp.brs.nihon-u.ac.jp/~museum/doc/archive/a-a/a-a_00152_R.png","画像")</f>
        <v>画像</v>
      </c>
      <c r="B68" s="5" t="s">
        <v>162</v>
      </c>
      <c r="C68" s="6" t="s">
        <v>163</v>
      </c>
      <c r="D68" s="7" t="s">
        <v>4</v>
      </c>
      <c r="E68" s="8" t="s">
        <v>5</v>
      </c>
      <c r="F68" s="9" t="s">
        <v>164</v>
      </c>
      <c r="G68" s="8"/>
      <c r="H68" s="8" t="s">
        <v>7</v>
      </c>
      <c r="I68" s="8" t="s">
        <v>294</v>
      </c>
    </row>
    <row r="69" spans="1:9" s="10" customFormat="1" ht="20.100000000000001" customHeight="1" x14ac:dyDescent="0.4">
      <c r="A69" s="47" t="str">
        <f>HYPERLINK("https://hp.brs.nihon-u.ac.jp/~museum/doc/archive/a-a/a-a_00154_R.png","画像")</f>
        <v>画像</v>
      </c>
      <c r="B69" s="5" t="s">
        <v>166</v>
      </c>
      <c r="C69" s="6" t="s">
        <v>167</v>
      </c>
      <c r="D69" s="7" t="s">
        <v>4</v>
      </c>
      <c r="E69" s="8" t="s">
        <v>5</v>
      </c>
      <c r="F69" s="9" t="s">
        <v>837</v>
      </c>
      <c r="G69" s="8"/>
      <c r="H69" s="8" t="s">
        <v>7</v>
      </c>
      <c r="I69" s="8" t="s">
        <v>294</v>
      </c>
    </row>
    <row r="70" spans="1:9" s="19" customFormat="1" ht="20.100000000000001" customHeight="1" x14ac:dyDescent="0.4">
      <c r="A70" s="48"/>
      <c r="B70" s="22" t="s">
        <v>168</v>
      </c>
      <c r="C70" s="16" t="s">
        <v>165</v>
      </c>
      <c r="D70" s="17" t="s">
        <v>4</v>
      </c>
      <c r="E70" s="18" t="s">
        <v>31</v>
      </c>
      <c r="F70" s="23" t="s">
        <v>74</v>
      </c>
      <c r="G70" s="18"/>
      <c r="H70" s="18" t="s">
        <v>7</v>
      </c>
      <c r="I70" s="18" t="s">
        <v>294</v>
      </c>
    </row>
    <row r="71" spans="1:9" s="10" customFormat="1" ht="20.100000000000001" customHeight="1" x14ac:dyDescent="0.4">
      <c r="A71" s="47" t="str">
        <f>HYPERLINK("https://hp.brs.nihon-u.ac.jp/~museum/doc/archive/a-a/a-a_00156_R.png","画像")</f>
        <v>画像</v>
      </c>
      <c r="B71" s="5" t="s">
        <v>169</v>
      </c>
      <c r="C71" s="6" t="s">
        <v>833</v>
      </c>
      <c r="D71" s="7" t="s">
        <v>4</v>
      </c>
      <c r="E71" s="8" t="s">
        <v>31</v>
      </c>
      <c r="F71" s="9" t="s">
        <v>170</v>
      </c>
      <c r="G71" s="8"/>
      <c r="H71" s="8" t="s">
        <v>7</v>
      </c>
      <c r="I71" s="8" t="s">
        <v>294</v>
      </c>
    </row>
    <row r="72" spans="1:9" s="10" customFormat="1" ht="20.100000000000001" customHeight="1" x14ac:dyDescent="0.4">
      <c r="A72" s="47" t="str">
        <f>HYPERLINK("https://hp.brs.nihon-u.ac.jp/~museum/doc/archive/a-a/a-a_00157_R.png","画像")</f>
        <v>画像</v>
      </c>
      <c r="B72" s="5" t="s">
        <v>171</v>
      </c>
      <c r="C72" s="6" t="s">
        <v>172</v>
      </c>
      <c r="D72" s="7" t="s">
        <v>4</v>
      </c>
      <c r="E72" s="8" t="s">
        <v>31</v>
      </c>
      <c r="F72" s="9" t="s">
        <v>70</v>
      </c>
      <c r="G72" s="8"/>
      <c r="H72" s="8" t="s">
        <v>7</v>
      </c>
      <c r="I72" s="8" t="s">
        <v>294</v>
      </c>
    </row>
    <row r="73" spans="1:9" s="10" customFormat="1" ht="20.100000000000001" customHeight="1" x14ac:dyDescent="0.4">
      <c r="A73" s="47" t="str">
        <f>HYPERLINK("https://hp.brs.nihon-u.ac.jp/~museum/doc/archive/a-a/a-a_00158_R.png","画像")</f>
        <v>画像</v>
      </c>
      <c r="B73" s="5" t="s">
        <v>173</v>
      </c>
      <c r="C73" s="6" t="s">
        <v>174</v>
      </c>
      <c r="D73" s="7" t="s">
        <v>4</v>
      </c>
      <c r="E73" s="8" t="s">
        <v>31</v>
      </c>
      <c r="F73" s="9" t="s">
        <v>814</v>
      </c>
      <c r="G73" s="8"/>
      <c r="H73" s="8" t="s">
        <v>7</v>
      </c>
      <c r="I73" s="8" t="s">
        <v>294</v>
      </c>
    </row>
    <row r="74" spans="1:9" s="10" customFormat="1" ht="20.100000000000001" customHeight="1" x14ac:dyDescent="0.4">
      <c r="A74" s="47" t="str">
        <f>HYPERLINK("https://hp.brs.nihon-u.ac.jp/~museum/doc/archive/a-a/a-a_00159_R.png","画像")</f>
        <v>画像</v>
      </c>
      <c r="B74" s="5" t="s">
        <v>175</v>
      </c>
      <c r="C74" s="6" t="s">
        <v>176</v>
      </c>
      <c r="D74" s="7" t="s">
        <v>4</v>
      </c>
      <c r="E74" s="8" t="s">
        <v>5</v>
      </c>
      <c r="F74" s="9" t="s">
        <v>177</v>
      </c>
      <c r="G74" s="8" t="s">
        <v>24</v>
      </c>
      <c r="H74" s="8" t="s">
        <v>7</v>
      </c>
      <c r="I74" s="8" t="s">
        <v>294</v>
      </c>
    </row>
    <row r="75" spans="1:9" s="10" customFormat="1" ht="20.100000000000001" customHeight="1" x14ac:dyDescent="0.4">
      <c r="A75" s="47" t="str">
        <f>HYPERLINK("https://hp.brs.nihon-u.ac.jp/~museum/doc/archive/a-a/a-a_00160_R.png","画像")</f>
        <v>画像</v>
      </c>
      <c r="B75" s="5" t="s">
        <v>178</v>
      </c>
      <c r="C75" s="6" t="s">
        <v>179</v>
      </c>
      <c r="D75" s="7" t="s">
        <v>4</v>
      </c>
      <c r="E75" s="8" t="s">
        <v>31</v>
      </c>
      <c r="F75" s="9" t="s">
        <v>180</v>
      </c>
      <c r="G75" s="8"/>
      <c r="H75" s="8" t="s">
        <v>7</v>
      </c>
      <c r="I75" s="8" t="s">
        <v>294</v>
      </c>
    </row>
    <row r="76" spans="1:9" s="10" customFormat="1" ht="20.100000000000001" customHeight="1" x14ac:dyDescent="0.4">
      <c r="A76" s="47" t="str">
        <f>HYPERLINK("https://hp.brs.nihon-u.ac.jp/~museum/doc/archive/a-a/a-a_00161_R.png","画像")</f>
        <v>画像</v>
      </c>
      <c r="B76" s="5" t="s">
        <v>181</v>
      </c>
      <c r="C76" s="6" t="s">
        <v>182</v>
      </c>
      <c r="D76" s="7" t="s">
        <v>4</v>
      </c>
      <c r="E76" s="8" t="s">
        <v>5</v>
      </c>
      <c r="F76" s="9" t="s">
        <v>183</v>
      </c>
      <c r="G76" s="8" t="s">
        <v>24</v>
      </c>
      <c r="H76" s="8" t="s">
        <v>7</v>
      </c>
      <c r="I76" s="8" t="s">
        <v>294</v>
      </c>
    </row>
    <row r="77" spans="1:9" s="10" customFormat="1" ht="20.100000000000001" customHeight="1" x14ac:dyDescent="0.4">
      <c r="A77" s="47" t="str">
        <f>HYPERLINK("https://hp.brs.nihon-u.ac.jp/~museum/doc/archive/a-a/a-a_00162_R.png","画像")</f>
        <v>画像</v>
      </c>
      <c r="B77" s="5" t="s">
        <v>184</v>
      </c>
      <c r="C77" s="6" t="s">
        <v>185</v>
      </c>
      <c r="D77" s="7" t="s">
        <v>4</v>
      </c>
      <c r="E77" s="8" t="s">
        <v>5</v>
      </c>
      <c r="F77" s="9" t="s">
        <v>186</v>
      </c>
      <c r="G77" s="8" t="s">
        <v>24</v>
      </c>
      <c r="H77" s="8" t="s">
        <v>7</v>
      </c>
      <c r="I77" s="8" t="s">
        <v>294</v>
      </c>
    </row>
    <row r="78" spans="1:9" s="10" customFormat="1" ht="20.100000000000001" customHeight="1" x14ac:dyDescent="0.4">
      <c r="A78" s="47" t="str">
        <f>HYPERLINK("https://hp.brs.nihon-u.ac.jp/~museum/doc/archive/a-a/a-a_00163_R.png","画像")</f>
        <v>画像</v>
      </c>
      <c r="B78" s="5" t="s">
        <v>187</v>
      </c>
      <c r="C78" s="6" t="s">
        <v>188</v>
      </c>
      <c r="D78" s="7" t="s">
        <v>4</v>
      </c>
      <c r="E78" s="8" t="s">
        <v>5</v>
      </c>
      <c r="F78" s="9" t="s">
        <v>189</v>
      </c>
      <c r="G78" s="8" t="s">
        <v>16</v>
      </c>
      <c r="H78" s="8" t="s">
        <v>7</v>
      </c>
      <c r="I78" s="8" t="s">
        <v>294</v>
      </c>
    </row>
    <row r="79" spans="1:9" s="10" customFormat="1" ht="20.100000000000001" customHeight="1" x14ac:dyDescent="0.4">
      <c r="A79" s="47"/>
      <c r="B79" s="5" t="s">
        <v>190</v>
      </c>
      <c r="C79" s="6" t="s">
        <v>191</v>
      </c>
      <c r="D79" s="7" t="s">
        <v>4</v>
      </c>
      <c r="E79" s="8" t="s">
        <v>5</v>
      </c>
      <c r="F79" s="9" t="s">
        <v>192</v>
      </c>
      <c r="G79" s="8"/>
      <c r="H79" s="8" t="s">
        <v>7</v>
      </c>
      <c r="I79" s="8" t="s">
        <v>295</v>
      </c>
    </row>
    <row r="80" spans="1:9" ht="20.100000000000001" customHeight="1" x14ac:dyDescent="0.4">
      <c r="A80" s="50"/>
      <c r="B80" s="11" t="s">
        <v>193</v>
      </c>
      <c r="C80" s="12" t="s">
        <v>297</v>
      </c>
      <c r="D80" s="7" t="s">
        <v>4</v>
      </c>
      <c r="E80" s="8" t="s">
        <v>5</v>
      </c>
      <c r="F80" s="13" t="s">
        <v>298</v>
      </c>
      <c r="G80" s="14"/>
      <c r="H80" s="8" t="s">
        <v>7</v>
      </c>
      <c r="I80" s="14" t="s">
        <v>8</v>
      </c>
    </row>
    <row r="81" spans="1:9" s="10" customFormat="1" ht="20.100000000000001" customHeight="1" x14ac:dyDescent="0.4">
      <c r="A81" s="47"/>
      <c r="B81" s="5" t="s">
        <v>194</v>
      </c>
      <c r="C81" s="6" t="s">
        <v>195</v>
      </c>
      <c r="D81" s="7" t="s">
        <v>4</v>
      </c>
      <c r="E81" s="8" t="s">
        <v>5</v>
      </c>
      <c r="F81" s="9" t="s">
        <v>196</v>
      </c>
      <c r="G81" s="8"/>
      <c r="H81" s="8" t="s">
        <v>7</v>
      </c>
      <c r="I81" s="8" t="s">
        <v>295</v>
      </c>
    </row>
    <row r="82" spans="1:9" s="10" customFormat="1" ht="20.100000000000001" customHeight="1" x14ac:dyDescent="0.4">
      <c r="A82" s="47" t="str">
        <f>HYPERLINK("https://hp.brs.nihon-u.ac.jp/~museum/doc/archive/a-a/a-a_00167_R.png","画像")</f>
        <v>画像</v>
      </c>
      <c r="B82" s="5" t="s">
        <v>197</v>
      </c>
      <c r="C82" s="6" t="s">
        <v>838</v>
      </c>
      <c r="D82" s="7" t="s">
        <v>4</v>
      </c>
      <c r="E82" s="8" t="s">
        <v>5</v>
      </c>
      <c r="F82" s="9" t="s">
        <v>198</v>
      </c>
      <c r="G82" s="8" t="s">
        <v>24</v>
      </c>
      <c r="H82" s="8" t="s">
        <v>7</v>
      </c>
      <c r="I82" s="8" t="s">
        <v>294</v>
      </c>
    </row>
    <row r="83" spans="1:9" s="10" customFormat="1" ht="20.100000000000001" customHeight="1" x14ac:dyDescent="0.4">
      <c r="A83" s="47" t="str">
        <f>HYPERLINK("https://hp.brs.nihon-u.ac.jp/~museum/doc/archive/a-a/a-a_00168_R.png","画像")</f>
        <v>画像</v>
      </c>
      <c r="B83" s="5" t="s">
        <v>199</v>
      </c>
      <c r="C83" s="6" t="s">
        <v>838</v>
      </c>
      <c r="D83" s="7" t="s">
        <v>4</v>
      </c>
      <c r="E83" s="8" t="s">
        <v>31</v>
      </c>
      <c r="F83" s="9" t="s">
        <v>198</v>
      </c>
      <c r="G83" s="8" t="s">
        <v>24</v>
      </c>
      <c r="H83" s="8" t="s">
        <v>7</v>
      </c>
      <c r="I83" s="8" t="s">
        <v>294</v>
      </c>
    </row>
    <row r="84" spans="1:9" s="10" customFormat="1" ht="20.100000000000001" customHeight="1" x14ac:dyDescent="0.4">
      <c r="A84" s="47" t="str">
        <f>HYPERLINK("https://hp.brs.nihon-u.ac.jp/~museum/doc/archive/a-a/a-a_00169_R.png","画像")</f>
        <v>画像</v>
      </c>
      <c r="B84" s="5" t="s">
        <v>200</v>
      </c>
      <c r="C84" s="6" t="s">
        <v>201</v>
      </c>
      <c r="D84" s="7" t="s">
        <v>4</v>
      </c>
      <c r="E84" s="8" t="s">
        <v>5</v>
      </c>
      <c r="F84" s="9" t="s">
        <v>202</v>
      </c>
      <c r="G84" s="8"/>
      <c r="H84" s="8" t="s">
        <v>7</v>
      </c>
      <c r="I84" s="8" t="s">
        <v>294</v>
      </c>
    </row>
    <row r="85" spans="1:9" s="10" customFormat="1" ht="20.100000000000001" customHeight="1" x14ac:dyDescent="0.4">
      <c r="A85" s="48"/>
      <c r="B85" s="5" t="s">
        <v>203</v>
      </c>
      <c r="C85" s="6" t="s">
        <v>182</v>
      </c>
      <c r="D85" s="7" t="s">
        <v>4</v>
      </c>
      <c r="E85" s="8" t="s">
        <v>31</v>
      </c>
      <c r="F85" s="9" t="s">
        <v>183</v>
      </c>
      <c r="G85" s="8" t="s">
        <v>24</v>
      </c>
      <c r="H85" s="8" t="s">
        <v>7</v>
      </c>
      <c r="I85" s="8" t="s">
        <v>294</v>
      </c>
    </row>
    <row r="86" spans="1:9" s="10" customFormat="1" ht="20.100000000000001" customHeight="1" x14ac:dyDescent="0.4">
      <c r="A86" s="47" t="str">
        <f>HYPERLINK("https://hp.brs.nihon-u.ac.jp/~museum/doc/archive/a-a/a-a_00173_R.png","画像")</f>
        <v>画像</v>
      </c>
      <c r="B86" s="5" t="s">
        <v>204</v>
      </c>
      <c r="C86" s="6" t="s">
        <v>205</v>
      </c>
      <c r="D86" s="7" t="s">
        <v>4</v>
      </c>
      <c r="E86" s="8" t="s">
        <v>31</v>
      </c>
      <c r="F86" s="9" t="s">
        <v>206</v>
      </c>
      <c r="G86" s="8"/>
      <c r="H86" s="8" t="s">
        <v>7</v>
      </c>
      <c r="I86" s="8" t="s">
        <v>294</v>
      </c>
    </row>
    <row r="87" spans="1:9" s="10" customFormat="1" ht="20.100000000000001" customHeight="1" x14ac:dyDescent="0.4">
      <c r="A87" s="47" t="str">
        <f>HYPERLINK("https://hp.brs.nihon-u.ac.jp/~museum/doc/archive/a-a/a-a_00174_R.png","画像")</f>
        <v>画像</v>
      </c>
      <c r="B87" s="5" t="s">
        <v>207</v>
      </c>
      <c r="C87" s="6" t="s">
        <v>208</v>
      </c>
      <c r="D87" s="7" t="s">
        <v>4</v>
      </c>
      <c r="E87" s="8" t="s">
        <v>31</v>
      </c>
      <c r="F87" s="9" t="s">
        <v>209</v>
      </c>
      <c r="G87" s="8"/>
      <c r="H87" s="8" t="s">
        <v>7</v>
      </c>
      <c r="I87" s="8" t="s">
        <v>294</v>
      </c>
    </row>
    <row r="88" spans="1:9" s="10" customFormat="1" ht="20.100000000000001" customHeight="1" x14ac:dyDescent="0.4">
      <c r="A88" s="47" t="str">
        <f>HYPERLINK("https://hp.brs.nihon-u.ac.jp/~museum/doc/archive/a-a/a-a_00176_R.png","画像")</f>
        <v>画像</v>
      </c>
      <c r="B88" s="5" t="s">
        <v>289</v>
      </c>
      <c r="C88" s="6" t="s">
        <v>210</v>
      </c>
      <c r="D88" s="7" t="s">
        <v>4</v>
      </c>
      <c r="E88" s="8" t="s">
        <v>5</v>
      </c>
      <c r="F88" s="9" t="s">
        <v>211</v>
      </c>
      <c r="G88" s="8" t="s">
        <v>24</v>
      </c>
      <c r="H88" s="8" t="s">
        <v>7</v>
      </c>
      <c r="I88" s="8" t="s">
        <v>294</v>
      </c>
    </row>
    <row r="89" spans="1:9" s="10" customFormat="1" ht="20.100000000000001" customHeight="1" x14ac:dyDescent="0.4">
      <c r="A89" s="47" t="str">
        <f>HYPERLINK("https://hp.brs.nihon-u.ac.jp/~museum/doc/archive/a-a/a-a_00178_R.png","画像")</f>
        <v>画像</v>
      </c>
      <c r="B89" s="5" t="s">
        <v>290</v>
      </c>
      <c r="C89" s="6" t="s">
        <v>172</v>
      </c>
      <c r="D89" s="7" t="s">
        <v>4</v>
      </c>
      <c r="E89" s="8" t="s">
        <v>5</v>
      </c>
      <c r="F89" s="9" t="s">
        <v>212</v>
      </c>
      <c r="G89" s="8" t="s">
        <v>16</v>
      </c>
      <c r="H89" s="8" t="s">
        <v>7</v>
      </c>
      <c r="I89" s="8" t="s">
        <v>294</v>
      </c>
    </row>
    <row r="90" spans="1:9" s="10" customFormat="1" ht="20.100000000000001" customHeight="1" x14ac:dyDescent="0.4">
      <c r="A90" s="47" t="str">
        <f>HYPERLINK("https://hp.brs.nihon-u.ac.jp/~museum/doc/archive/a-a/a-a_00179_R.png","画像")</f>
        <v>画像</v>
      </c>
      <c r="B90" s="5" t="s">
        <v>213</v>
      </c>
      <c r="C90" s="6" t="s">
        <v>839</v>
      </c>
      <c r="D90" s="7" t="s">
        <v>4</v>
      </c>
      <c r="E90" s="8" t="s">
        <v>31</v>
      </c>
      <c r="F90" s="9" t="s">
        <v>214</v>
      </c>
      <c r="G90" s="8"/>
      <c r="H90" s="8" t="s">
        <v>7</v>
      </c>
      <c r="I90" s="8" t="s">
        <v>294</v>
      </c>
    </row>
    <row r="91" spans="1:9" s="10" customFormat="1" ht="20.100000000000001" customHeight="1" x14ac:dyDescent="0.4">
      <c r="A91" s="47"/>
      <c r="B91" s="5" t="s">
        <v>215</v>
      </c>
      <c r="C91" s="6" t="s">
        <v>216</v>
      </c>
      <c r="D91" s="7" t="s">
        <v>4</v>
      </c>
      <c r="E91" s="8" t="s">
        <v>31</v>
      </c>
      <c r="F91" s="9" t="s">
        <v>217</v>
      </c>
      <c r="G91" s="8" t="s">
        <v>16</v>
      </c>
      <c r="H91" s="8" t="s">
        <v>7</v>
      </c>
      <c r="I91" s="8" t="s">
        <v>295</v>
      </c>
    </row>
    <row r="92" spans="1:9" s="10" customFormat="1" ht="20.100000000000001" customHeight="1" x14ac:dyDescent="0.4">
      <c r="A92" s="47"/>
      <c r="B92" s="5" t="s">
        <v>218</v>
      </c>
      <c r="C92" s="6" t="s">
        <v>210</v>
      </c>
      <c r="D92" s="7" t="s">
        <v>4</v>
      </c>
      <c r="E92" s="8" t="s">
        <v>31</v>
      </c>
      <c r="F92" s="9" t="s">
        <v>211</v>
      </c>
      <c r="G92" s="8"/>
      <c r="H92" s="8" t="s">
        <v>7</v>
      </c>
      <c r="I92" s="8" t="s">
        <v>294</v>
      </c>
    </row>
    <row r="93" spans="1:9" s="20" customFormat="1" ht="20.100000000000001" customHeight="1" x14ac:dyDescent="0.4">
      <c r="A93" s="47" t="str">
        <f>HYPERLINK("https://hp.brs.nihon-u.ac.jp/~museum/doc/archive/a-a/a-a_00182_R.png","画像")</f>
        <v>画像</v>
      </c>
      <c r="B93" s="5" t="s">
        <v>219</v>
      </c>
      <c r="C93" s="6" t="s">
        <v>220</v>
      </c>
      <c r="D93" s="7" t="s">
        <v>4</v>
      </c>
      <c r="E93" s="8" t="s">
        <v>5</v>
      </c>
      <c r="F93" s="9" t="s">
        <v>221</v>
      </c>
      <c r="G93" s="8" t="s">
        <v>16</v>
      </c>
      <c r="H93" s="8" t="s">
        <v>7</v>
      </c>
      <c r="I93" s="8" t="s">
        <v>294</v>
      </c>
    </row>
    <row r="94" spans="1:9" s="20" customFormat="1" ht="20.100000000000001" customHeight="1" x14ac:dyDescent="0.4">
      <c r="A94" s="47" t="str">
        <f>HYPERLINK("https://hp.brs.nihon-u.ac.jp/~museum/doc/archive/a-a/a-a_00183_R.png","画像")</f>
        <v>画像</v>
      </c>
      <c r="B94" s="5" t="s">
        <v>299</v>
      </c>
      <c r="C94" s="6" t="s">
        <v>220</v>
      </c>
      <c r="D94" s="7" t="s">
        <v>4</v>
      </c>
      <c r="E94" s="8" t="s">
        <v>31</v>
      </c>
      <c r="F94" s="9" t="s">
        <v>221</v>
      </c>
      <c r="G94" s="8" t="s">
        <v>16</v>
      </c>
      <c r="H94" s="8" t="s">
        <v>7</v>
      </c>
      <c r="I94" s="8" t="s">
        <v>294</v>
      </c>
    </row>
    <row r="95" spans="1:9" s="20" customFormat="1" ht="20.100000000000001" customHeight="1" x14ac:dyDescent="0.4">
      <c r="A95" s="48"/>
      <c r="B95" s="5" t="s">
        <v>274</v>
      </c>
      <c r="C95" s="6" t="s">
        <v>840</v>
      </c>
      <c r="D95" s="7" t="s">
        <v>4</v>
      </c>
      <c r="E95" s="8" t="s">
        <v>5</v>
      </c>
      <c r="F95" s="9" t="s">
        <v>275</v>
      </c>
      <c r="G95" s="8" t="s">
        <v>24</v>
      </c>
      <c r="H95" s="8" t="s">
        <v>7</v>
      </c>
      <c r="I95" s="8" t="s">
        <v>294</v>
      </c>
    </row>
    <row r="96" spans="1:9" ht="20.100000000000001" customHeight="1" x14ac:dyDescent="0.4">
      <c r="A96" s="50"/>
      <c r="B96" s="11" t="s">
        <v>222</v>
      </c>
      <c r="C96" s="12" t="s">
        <v>223</v>
      </c>
      <c r="D96" s="7" t="s">
        <v>4</v>
      </c>
      <c r="E96" s="8" t="s">
        <v>5</v>
      </c>
      <c r="F96" s="13" t="s">
        <v>224</v>
      </c>
      <c r="G96" s="14" t="s">
        <v>16</v>
      </c>
      <c r="H96" s="8" t="s">
        <v>7</v>
      </c>
      <c r="I96" s="14" t="s">
        <v>294</v>
      </c>
    </row>
    <row r="97" spans="1:9" ht="20.100000000000001" customHeight="1" x14ac:dyDescent="0.4">
      <c r="A97" s="50"/>
      <c r="B97" s="11" t="s">
        <v>225</v>
      </c>
      <c r="C97" s="12" t="s">
        <v>223</v>
      </c>
      <c r="D97" s="7" t="s">
        <v>4</v>
      </c>
      <c r="E97" s="8" t="s">
        <v>31</v>
      </c>
      <c r="F97" s="13" t="s">
        <v>224</v>
      </c>
      <c r="G97" s="14" t="s">
        <v>24</v>
      </c>
      <c r="H97" s="8" t="s">
        <v>7</v>
      </c>
      <c r="I97" s="14" t="s">
        <v>294</v>
      </c>
    </row>
    <row r="98" spans="1:9" ht="20.100000000000001" customHeight="1" x14ac:dyDescent="0.4">
      <c r="A98" s="50"/>
      <c r="B98" s="11" t="s">
        <v>226</v>
      </c>
      <c r="C98" s="12" t="s">
        <v>223</v>
      </c>
      <c r="D98" s="7" t="s">
        <v>4</v>
      </c>
      <c r="E98" s="8" t="s">
        <v>227</v>
      </c>
      <c r="F98" s="13" t="s">
        <v>224</v>
      </c>
      <c r="G98" s="14" t="s">
        <v>24</v>
      </c>
      <c r="H98" s="8" t="s">
        <v>7</v>
      </c>
      <c r="I98" s="14" t="s">
        <v>294</v>
      </c>
    </row>
    <row r="99" spans="1:9" s="10" customFormat="1" ht="20.100000000000001" customHeight="1" x14ac:dyDescent="0.4">
      <c r="A99" s="48"/>
      <c r="B99" s="5" t="s">
        <v>228</v>
      </c>
      <c r="C99" s="6" t="s">
        <v>229</v>
      </c>
      <c r="D99" s="7" t="s">
        <v>52</v>
      </c>
      <c r="E99" s="8" t="s">
        <v>31</v>
      </c>
      <c r="F99" s="9" t="s">
        <v>230</v>
      </c>
      <c r="G99" s="8"/>
      <c r="H99" s="8" t="s">
        <v>7</v>
      </c>
      <c r="I99" s="8" t="s">
        <v>294</v>
      </c>
    </row>
    <row r="100" spans="1:9" ht="20.100000000000001" customHeight="1" x14ac:dyDescent="0.4">
      <c r="A100" s="50"/>
      <c r="B100" s="11" t="s">
        <v>231</v>
      </c>
      <c r="C100" s="12" t="s">
        <v>232</v>
      </c>
      <c r="D100" s="7" t="s">
        <v>4</v>
      </c>
      <c r="E100" s="8" t="s">
        <v>5</v>
      </c>
      <c r="F100" s="13" t="s">
        <v>233</v>
      </c>
      <c r="G100" s="14" t="s">
        <v>24</v>
      </c>
      <c r="H100" s="8" t="s">
        <v>7</v>
      </c>
      <c r="I100" s="14" t="s">
        <v>294</v>
      </c>
    </row>
    <row r="101" spans="1:9" ht="20.100000000000001" customHeight="1" x14ac:dyDescent="0.4">
      <c r="A101" s="50"/>
      <c r="B101" s="11" t="s">
        <v>234</v>
      </c>
      <c r="C101" s="12" t="s">
        <v>232</v>
      </c>
      <c r="D101" s="7" t="s">
        <v>4</v>
      </c>
      <c r="E101" s="8" t="s">
        <v>31</v>
      </c>
      <c r="F101" s="13" t="s">
        <v>233</v>
      </c>
      <c r="G101" s="14" t="s">
        <v>24</v>
      </c>
      <c r="H101" s="8" t="s">
        <v>7</v>
      </c>
      <c r="I101" s="14" t="s">
        <v>294</v>
      </c>
    </row>
    <row r="102" spans="1:9" s="10" customFormat="1" ht="20.100000000000001" customHeight="1" x14ac:dyDescent="0.4">
      <c r="A102" s="48"/>
      <c r="B102" s="5" t="s">
        <v>235</v>
      </c>
      <c r="C102" s="6" t="s">
        <v>300</v>
      </c>
      <c r="D102" s="7" t="s">
        <v>4</v>
      </c>
      <c r="E102" s="8" t="s">
        <v>5</v>
      </c>
      <c r="F102" s="9" t="s">
        <v>236</v>
      </c>
      <c r="G102" s="8"/>
      <c r="H102" s="8" t="s">
        <v>7</v>
      </c>
      <c r="I102" s="8" t="s">
        <v>294</v>
      </c>
    </row>
    <row r="103" spans="1:9" ht="20.100000000000001" customHeight="1" x14ac:dyDescent="0.4">
      <c r="A103" s="50"/>
      <c r="B103" s="11" t="s">
        <v>237</v>
      </c>
      <c r="C103" s="12" t="s">
        <v>238</v>
      </c>
      <c r="D103" s="7" t="s">
        <v>4</v>
      </c>
      <c r="E103" s="8" t="s">
        <v>5</v>
      </c>
      <c r="F103" s="13" t="s">
        <v>239</v>
      </c>
      <c r="G103" s="14" t="s">
        <v>24</v>
      </c>
      <c r="H103" s="8" t="s">
        <v>7</v>
      </c>
      <c r="I103" s="14" t="s">
        <v>294</v>
      </c>
    </row>
    <row r="104" spans="1:9" s="10" customFormat="1" ht="20.100000000000001" customHeight="1" x14ac:dyDescent="0.4">
      <c r="A104" s="48"/>
      <c r="B104" s="5" t="s">
        <v>240</v>
      </c>
      <c r="C104" s="6" t="s">
        <v>841</v>
      </c>
      <c r="D104" s="7" t="s">
        <v>4</v>
      </c>
      <c r="E104" s="8" t="s">
        <v>5</v>
      </c>
      <c r="F104" s="9" t="s">
        <v>241</v>
      </c>
      <c r="G104" s="8"/>
      <c r="H104" s="8" t="s">
        <v>7</v>
      </c>
      <c r="I104" s="8" t="s">
        <v>294</v>
      </c>
    </row>
    <row r="105" spans="1:9" s="10" customFormat="1" ht="20.100000000000001" customHeight="1" x14ac:dyDescent="0.4">
      <c r="A105" s="48"/>
      <c r="B105" s="5" t="s">
        <v>242</v>
      </c>
      <c r="C105" s="6" t="s">
        <v>243</v>
      </c>
      <c r="D105" s="7" t="s">
        <v>4</v>
      </c>
      <c r="E105" s="8" t="s">
        <v>5</v>
      </c>
      <c r="F105" s="9" t="s">
        <v>244</v>
      </c>
      <c r="G105" s="8"/>
      <c r="H105" s="8" t="s">
        <v>7</v>
      </c>
      <c r="I105" s="8" t="s">
        <v>294</v>
      </c>
    </row>
    <row r="106" spans="1:9" s="10" customFormat="1" ht="20.100000000000001" customHeight="1" x14ac:dyDescent="0.4">
      <c r="A106" s="48"/>
      <c r="B106" s="5" t="s">
        <v>245</v>
      </c>
      <c r="C106" s="6" t="s">
        <v>195</v>
      </c>
      <c r="D106" s="7" t="s">
        <v>4</v>
      </c>
      <c r="E106" s="8" t="s">
        <v>5</v>
      </c>
      <c r="F106" s="9" t="s">
        <v>246</v>
      </c>
      <c r="G106" s="8"/>
      <c r="H106" s="8" t="s">
        <v>7</v>
      </c>
      <c r="I106" s="8" t="s">
        <v>295</v>
      </c>
    </row>
    <row r="107" spans="1:9" s="10" customFormat="1" ht="20.100000000000001" customHeight="1" x14ac:dyDescent="0.4">
      <c r="A107" s="48"/>
      <c r="B107" s="5" t="s">
        <v>247</v>
      </c>
      <c r="C107" s="6" t="s">
        <v>248</v>
      </c>
      <c r="D107" s="7" t="s">
        <v>4</v>
      </c>
      <c r="E107" s="8" t="s">
        <v>5</v>
      </c>
      <c r="F107" s="9" t="s">
        <v>249</v>
      </c>
      <c r="G107" s="8"/>
      <c r="H107" s="8" t="s">
        <v>7</v>
      </c>
      <c r="I107" s="8" t="s">
        <v>294</v>
      </c>
    </row>
    <row r="108" spans="1:9" s="10" customFormat="1" ht="20.100000000000001" customHeight="1" x14ac:dyDescent="0.4">
      <c r="A108" s="48"/>
      <c r="B108" s="5" t="s">
        <v>250</v>
      </c>
      <c r="C108" s="6" t="s">
        <v>838</v>
      </c>
      <c r="D108" s="7" t="s">
        <v>4</v>
      </c>
      <c r="E108" s="8" t="s">
        <v>5</v>
      </c>
      <c r="F108" s="9" t="s">
        <v>251</v>
      </c>
      <c r="G108" s="8"/>
      <c r="H108" s="8" t="s">
        <v>7</v>
      </c>
      <c r="I108" s="8" t="s">
        <v>294</v>
      </c>
    </row>
    <row r="109" spans="1:9" ht="20.100000000000001" customHeight="1" x14ac:dyDescent="0.4">
      <c r="A109" s="50"/>
      <c r="B109" s="11" t="s">
        <v>252</v>
      </c>
      <c r="C109" s="12" t="s">
        <v>253</v>
      </c>
      <c r="D109" s="7" t="s">
        <v>4</v>
      </c>
      <c r="E109" s="8" t="s">
        <v>31</v>
      </c>
      <c r="F109" s="13" t="s">
        <v>254</v>
      </c>
      <c r="G109" s="14"/>
      <c r="H109" s="8" t="s">
        <v>7</v>
      </c>
      <c r="I109" s="14" t="s">
        <v>294</v>
      </c>
    </row>
    <row r="110" spans="1:9" ht="20.100000000000001" customHeight="1" x14ac:dyDescent="0.4">
      <c r="A110" s="50"/>
      <c r="B110" s="11" t="s">
        <v>255</v>
      </c>
      <c r="C110" s="12" t="s">
        <v>253</v>
      </c>
      <c r="D110" s="7" t="s">
        <v>4</v>
      </c>
      <c r="E110" s="8" t="s">
        <v>31</v>
      </c>
      <c r="F110" s="13" t="s">
        <v>254</v>
      </c>
      <c r="G110" s="14"/>
      <c r="H110" s="8" t="s">
        <v>7</v>
      </c>
      <c r="I110" s="14" t="s">
        <v>294</v>
      </c>
    </row>
    <row r="111" spans="1:9" ht="20.100000000000001" customHeight="1" x14ac:dyDescent="0.4">
      <c r="A111" s="50"/>
      <c r="B111" s="11" t="s">
        <v>256</v>
      </c>
      <c r="C111" s="12" t="s">
        <v>124</v>
      </c>
      <c r="D111" s="14" t="s">
        <v>4</v>
      </c>
      <c r="E111" s="14" t="s">
        <v>31</v>
      </c>
      <c r="F111" s="13" t="s">
        <v>257</v>
      </c>
      <c r="G111" s="14" t="s">
        <v>24</v>
      </c>
      <c r="H111" s="14" t="s">
        <v>7</v>
      </c>
      <c r="I111" s="14" t="s">
        <v>295</v>
      </c>
    </row>
    <row r="112" spans="1:9" ht="20.100000000000001" customHeight="1" x14ac:dyDescent="0.4">
      <c r="A112" s="50"/>
      <c r="B112" s="11" t="s">
        <v>258</v>
      </c>
      <c r="C112" s="12" t="s">
        <v>259</v>
      </c>
      <c r="D112" s="14" t="s">
        <v>52</v>
      </c>
      <c r="E112" s="14" t="s">
        <v>31</v>
      </c>
      <c r="F112" s="13" t="s">
        <v>260</v>
      </c>
      <c r="G112" s="14" t="s">
        <v>24</v>
      </c>
      <c r="H112" s="14" t="s">
        <v>7</v>
      </c>
      <c r="I112" s="14" t="s">
        <v>294</v>
      </c>
    </row>
    <row r="113" spans="1:9" ht="20.100000000000001" customHeight="1" x14ac:dyDescent="0.4">
      <c r="A113" s="50"/>
      <c r="B113" s="11" t="s">
        <v>261</v>
      </c>
      <c r="C113" s="6" t="s">
        <v>262</v>
      </c>
      <c r="D113" s="14" t="s">
        <v>52</v>
      </c>
      <c r="E113" s="14" t="s">
        <v>31</v>
      </c>
      <c r="F113" s="13" t="s">
        <v>263</v>
      </c>
      <c r="G113" s="14" t="s">
        <v>24</v>
      </c>
      <c r="H113" s="14" t="s">
        <v>7</v>
      </c>
      <c r="I113" s="14" t="s">
        <v>294</v>
      </c>
    </row>
    <row r="114" spans="1:9" ht="20.100000000000001" customHeight="1" x14ac:dyDescent="0.4">
      <c r="A114" s="50"/>
      <c r="B114" s="11" t="s">
        <v>264</v>
      </c>
      <c r="C114" s="6" t="s">
        <v>14</v>
      </c>
      <c r="D114" s="14" t="s">
        <v>4</v>
      </c>
      <c r="E114" s="14" t="s">
        <v>5</v>
      </c>
      <c r="F114" s="13" t="s">
        <v>265</v>
      </c>
      <c r="G114" s="14"/>
      <c r="H114" s="14" t="s">
        <v>7</v>
      </c>
      <c r="I114" s="14" t="s">
        <v>294</v>
      </c>
    </row>
    <row r="115" spans="1:9" ht="20.100000000000001" customHeight="1" x14ac:dyDescent="0.4">
      <c r="A115" s="50"/>
      <c r="B115" s="11" t="s">
        <v>266</v>
      </c>
      <c r="C115" s="6" t="s">
        <v>267</v>
      </c>
      <c r="D115" s="14" t="s">
        <v>4</v>
      </c>
      <c r="E115" s="14" t="s">
        <v>5</v>
      </c>
      <c r="F115" s="13" t="s">
        <v>815</v>
      </c>
      <c r="G115" s="14"/>
      <c r="H115" s="14" t="s">
        <v>7</v>
      </c>
      <c r="I115" s="14" t="s">
        <v>294</v>
      </c>
    </row>
    <row r="116" spans="1:9" ht="20.100000000000001" customHeight="1" x14ac:dyDescent="0.4">
      <c r="A116" s="50"/>
      <c r="B116" s="11" t="s">
        <v>269</v>
      </c>
      <c r="C116" s="6" t="s">
        <v>124</v>
      </c>
      <c r="D116" s="14" t="s">
        <v>4</v>
      </c>
      <c r="E116" s="14" t="s">
        <v>5</v>
      </c>
      <c r="F116" s="13" t="s">
        <v>270</v>
      </c>
      <c r="G116" s="14" t="s">
        <v>16</v>
      </c>
      <c r="H116" s="14" t="s">
        <v>7</v>
      </c>
      <c r="I116" s="14" t="s">
        <v>295</v>
      </c>
    </row>
    <row r="117" spans="1:9" ht="20.100000000000001" customHeight="1" x14ac:dyDescent="0.4">
      <c r="A117" s="50"/>
      <c r="B117" s="11" t="s">
        <v>271</v>
      </c>
      <c r="C117" s="12" t="s">
        <v>272</v>
      </c>
      <c r="D117" s="14" t="s">
        <v>4</v>
      </c>
      <c r="E117" s="14" t="s">
        <v>31</v>
      </c>
      <c r="F117" s="13" t="s">
        <v>816</v>
      </c>
      <c r="G117" s="14"/>
      <c r="H117" s="14" t="s">
        <v>7</v>
      </c>
      <c r="I117" s="14" t="s">
        <v>295</v>
      </c>
    </row>
    <row r="118" spans="1:9" ht="20.100000000000001" customHeight="1" x14ac:dyDescent="0.4">
      <c r="A118" s="50"/>
      <c r="B118" s="11" t="s">
        <v>301</v>
      </c>
      <c r="C118" s="12" t="s">
        <v>302</v>
      </c>
      <c r="D118" s="14" t="s">
        <v>303</v>
      </c>
      <c r="E118" s="14" t="s">
        <v>5</v>
      </c>
      <c r="F118" s="13" t="s">
        <v>304</v>
      </c>
      <c r="G118" s="14"/>
      <c r="H118" s="14" t="s">
        <v>7</v>
      </c>
      <c r="I118" s="14" t="s">
        <v>49</v>
      </c>
    </row>
  </sheetData>
  <phoneticPr fontId="2"/>
  <pageMargins left="0.51181102362204722" right="0.51181102362204722" top="0.55118110236220474" bottom="0.55118110236220474" header="0.31496062992125984" footer="0.31496062992125984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24997-E5A2-4D71-A5B9-80A22D49E384}">
  <sheetPr>
    <pageSetUpPr fitToPage="1"/>
  </sheetPr>
  <dimension ref="A1:AG109"/>
  <sheetViews>
    <sheetView workbookViewId="0">
      <selection activeCell="F117" sqref="F117"/>
    </sheetView>
  </sheetViews>
  <sheetFormatPr defaultRowHeight="20.100000000000001" customHeight="1" x14ac:dyDescent="0.4"/>
  <cols>
    <col min="1" max="1" width="9.75" style="33" customWidth="1"/>
    <col min="2" max="2" width="11.5" style="24" customWidth="1"/>
    <col min="3" max="3" width="27.75" style="25" customWidth="1"/>
    <col min="4" max="4" width="9" style="15"/>
    <col min="5" max="5" width="12.125" style="15" customWidth="1"/>
    <col min="6" max="6" width="18.375" style="26" customWidth="1"/>
    <col min="7" max="7" width="9" style="15"/>
    <col min="8" max="9" width="9" style="15" customWidth="1"/>
    <col min="10" max="16384" width="9" style="2"/>
  </cols>
  <sheetData>
    <row r="1" spans="1:9" s="1" customFormat="1" ht="20.100000000000001" customHeight="1" x14ac:dyDescent="0.4">
      <c r="A1" s="27" t="s">
        <v>593</v>
      </c>
      <c r="B1" s="27" t="s">
        <v>0</v>
      </c>
      <c r="C1" s="28" t="s">
        <v>277</v>
      </c>
      <c r="D1" s="28" t="s">
        <v>1</v>
      </c>
      <c r="E1" s="28" t="s">
        <v>291</v>
      </c>
      <c r="F1" s="29" t="s">
        <v>2</v>
      </c>
      <c r="G1" s="28" t="s">
        <v>3</v>
      </c>
      <c r="H1" s="28" t="s">
        <v>292</v>
      </c>
      <c r="I1" s="28" t="s">
        <v>293</v>
      </c>
    </row>
    <row r="2" spans="1:9" ht="20.100000000000001" customHeight="1" x14ac:dyDescent="0.4">
      <c r="A2" s="31" t="str">
        <f>HYPERLINK("https://hp.brs.nihon-u.ac.jp/~museum/doc/archive/a-b/a-b_00001_R.png","画像")</f>
        <v>画像</v>
      </c>
      <c r="B2" s="11" t="s">
        <v>305</v>
      </c>
      <c r="C2" s="12" t="s">
        <v>306</v>
      </c>
      <c r="D2" s="34" t="s">
        <v>4</v>
      </c>
      <c r="E2" s="14" t="s">
        <v>5</v>
      </c>
      <c r="F2" s="13" t="s">
        <v>307</v>
      </c>
      <c r="G2" s="14"/>
      <c r="H2" s="14" t="s">
        <v>7</v>
      </c>
      <c r="I2" s="14" t="s">
        <v>308</v>
      </c>
    </row>
    <row r="3" spans="1:9" ht="20.100000000000001" customHeight="1" x14ac:dyDescent="0.4">
      <c r="A3" s="31" t="str">
        <f>HYPERLINK("https://hp.brs.nihon-u.ac.jp/~museum/doc/archive/a-b/a-b_00004_R.png","画像")</f>
        <v>画像</v>
      </c>
      <c r="B3" s="11" t="s">
        <v>309</v>
      </c>
      <c r="C3" s="12" t="s">
        <v>310</v>
      </c>
      <c r="D3" s="34" t="s">
        <v>4</v>
      </c>
      <c r="E3" s="14" t="s">
        <v>5</v>
      </c>
      <c r="F3" s="13" t="s">
        <v>311</v>
      </c>
      <c r="G3" s="14"/>
      <c r="H3" s="14" t="s">
        <v>7</v>
      </c>
      <c r="I3" s="14" t="s">
        <v>308</v>
      </c>
    </row>
    <row r="4" spans="1:9" s="3" customFormat="1" ht="20.100000000000001" customHeight="1" x14ac:dyDescent="0.4">
      <c r="A4" s="32" t="str">
        <f>HYPERLINK("https://hp.brs.nihon-u.ac.jp/~museum/doc/archive/a-b/a-b_00006_R.png","画像")</f>
        <v>画像</v>
      </c>
      <c r="B4" s="5" t="s">
        <v>312</v>
      </c>
      <c r="C4" s="6" t="s">
        <v>313</v>
      </c>
      <c r="D4" s="7" t="s">
        <v>4</v>
      </c>
      <c r="E4" s="8" t="s">
        <v>5</v>
      </c>
      <c r="F4" s="9" t="s">
        <v>314</v>
      </c>
      <c r="G4" s="8"/>
      <c r="H4" s="8" t="s">
        <v>7</v>
      </c>
      <c r="I4" s="8" t="s">
        <v>294</v>
      </c>
    </row>
    <row r="5" spans="1:9" ht="20.100000000000001" customHeight="1" x14ac:dyDescent="0.4">
      <c r="A5" s="31" t="str">
        <f>HYPERLINK("https://hp.brs.nihon-u.ac.jp/~museum/doc/archive/a-b/a-b_00009_R.png","画像")</f>
        <v>画像</v>
      </c>
      <c r="B5" s="11" t="s">
        <v>315</v>
      </c>
      <c r="C5" s="12" t="s">
        <v>316</v>
      </c>
      <c r="D5" s="34" t="s">
        <v>4</v>
      </c>
      <c r="E5" s="14" t="s">
        <v>5</v>
      </c>
      <c r="F5" s="13" t="s">
        <v>317</v>
      </c>
      <c r="G5" s="14"/>
      <c r="H5" s="14" t="s">
        <v>7</v>
      </c>
      <c r="I5" s="14" t="s">
        <v>308</v>
      </c>
    </row>
    <row r="6" spans="1:9" ht="20.100000000000001" customHeight="1" x14ac:dyDescent="0.4">
      <c r="A6" s="31" t="str">
        <f>HYPERLINK("https://hp.brs.nihon-u.ac.jp/~museum/doc/archive/a-b/a-b_00011_R.png","画像")</f>
        <v>画像</v>
      </c>
      <c r="B6" s="11" t="s">
        <v>318</v>
      </c>
      <c r="C6" s="12" t="s">
        <v>319</v>
      </c>
      <c r="D6" s="34" t="s">
        <v>4</v>
      </c>
      <c r="E6" s="14" t="s">
        <v>5</v>
      </c>
      <c r="F6" s="13" t="s">
        <v>320</v>
      </c>
      <c r="G6" s="14"/>
      <c r="H6" s="14" t="s">
        <v>7</v>
      </c>
      <c r="I6" s="14" t="s">
        <v>294</v>
      </c>
    </row>
    <row r="7" spans="1:9" ht="20.100000000000001" customHeight="1" x14ac:dyDescent="0.4">
      <c r="A7" s="31" t="str">
        <f>HYPERLINK("https://hp.brs.nihon-u.ac.jp/~museum/doc/archive/a-b/a-b_00012_R.png","画像")</f>
        <v>画像</v>
      </c>
      <c r="B7" s="11" t="s">
        <v>321</v>
      </c>
      <c r="C7" s="12" t="s">
        <v>322</v>
      </c>
      <c r="D7" s="34" t="s">
        <v>4</v>
      </c>
      <c r="E7" s="14" t="s">
        <v>5</v>
      </c>
      <c r="F7" s="13" t="s">
        <v>323</v>
      </c>
      <c r="G7" s="14"/>
      <c r="H7" s="14" t="s">
        <v>7</v>
      </c>
      <c r="I7" s="14" t="s">
        <v>308</v>
      </c>
    </row>
    <row r="8" spans="1:9" s="3" customFormat="1" ht="20.100000000000001" customHeight="1" x14ac:dyDescent="0.4">
      <c r="A8" s="32" t="str">
        <f>HYPERLINK("https://hp.brs.nihon-u.ac.jp/~museum/doc/archive/a-b/a-b_00013_R.png","画像")</f>
        <v>画像</v>
      </c>
      <c r="B8" s="5" t="s">
        <v>324</v>
      </c>
      <c r="C8" s="6" t="s">
        <v>325</v>
      </c>
      <c r="D8" s="7" t="s">
        <v>4</v>
      </c>
      <c r="E8" s="8" t="s">
        <v>5</v>
      </c>
      <c r="F8" s="9" t="s">
        <v>326</v>
      </c>
      <c r="G8" s="8"/>
      <c r="H8" s="8" t="s">
        <v>7</v>
      </c>
      <c r="I8" s="8" t="s">
        <v>294</v>
      </c>
    </row>
    <row r="9" spans="1:9" ht="20.100000000000001" customHeight="1" x14ac:dyDescent="0.4">
      <c r="A9" s="31" t="str">
        <f>HYPERLINK("https://hp.brs.nihon-u.ac.jp/~museum/doc/archive/a-b/a-b_00017_R.png","画像")</f>
        <v>画像</v>
      </c>
      <c r="B9" s="11" t="s">
        <v>328</v>
      </c>
      <c r="C9" s="12" t="s">
        <v>329</v>
      </c>
      <c r="D9" s="7" t="s">
        <v>4</v>
      </c>
      <c r="E9" s="8" t="s">
        <v>5</v>
      </c>
      <c r="F9" s="13" t="s">
        <v>330</v>
      </c>
      <c r="G9" s="8"/>
      <c r="H9" s="8" t="s">
        <v>7</v>
      </c>
      <c r="I9" s="14" t="s">
        <v>308</v>
      </c>
    </row>
    <row r="10" spans="1:9" ht="20.100000000000001" customHeight="1" x14ac:dyDescent="0.4">
      <c r="A10" s="31" t="str">
        <f>HYPERLINK("https://hp.brs.nihon-u.ac.jp/~museum/doc/archive/a-b/a-b_00020_R.png","画像")</f>
        <v>画像</v>
      </c>
      <c r="B10" s="11" t="s">
        <v>331</v>
      </c>
      <c r="C10" s="12" t="s">
        <v>332</v>
      </c>
      <c r="D10" s="7" t="s">
        <v>4</v>
      </c>
      <c r="E10" s="8" t="s">
        <v>5</v>
      </c>
      <c r="F10" s="13" t="s">
        <v>333</v>
      </c>
      <c r="G10" s="14"/>
      <c r="H10" s="8" t="s">
        <v>7</v>
      </c>
      <c r="I10" s="14" t="s">
        <v>294</v>
      </c>
    </row>
    <row r="11" spans="1:9" ht="20.100000000000001" customHeight="1" x14ac:dyDescent="0.4">
      <c r="A11" s="31" t="str">
        <f>HYPERLINK("https://hp.brs.nihon-u.ac.jp/~museum/doc/archive/a-b/a-b_00022_R.png","画像")</f>
        <v>画像</v>
      </c>
      <c r="B11" s="11" t="s">
        <v>334</v>
      </c>
      <c r="C11" s="12" t="s">
        <v>335</v>
      </c>
      <c r="D11" s="7" t="s">
        <v>4</v>
      </c>
      <c r="E11" s="8" t="s">
        <v>5</v>
      </c>
      <c r="F11" s="13" t="s">
        <v>336</v>
      </c>
      <c r="G11" s="14"/>
      <c r="H11" s="8" t="s">
        <v>7</v>
      </c>
      <c r="I11" s="14" t="s">
        <v>294</v>
      </c>
    </row>
    <row r="12" spans="1:9" ht="20.100000000000001" customHeight="1" x14ac:dyDescent="0.4">
      <c r="A12" s="31" t="str">
        <f>HYPERLINK("https://hp.brs.nihon-u.ac.jp/~museum/doc/archive/a-b/a-b_00025_R.png","画像")</f>
        <v>画像</v>
      </c>
      <c r="B12" s="11" t="s">
        <v>337</v>
      </c>
      <c r="C12" s="12" t="s">
        <v>338</v>
      </c>
      <c r="D12" s="7" t="s">
        <v>4</v>
      </c>
      <c r="E12" s="8" t="s">
        <v>5</v>
      </c>
      <c r="F12" s="13" t="s">
        <v>339</v>
      </c>
      <c r="G12" s="14"/>
      <c r="H12" s="8" t="s">
        <v>7</v>
      </c>
      <c r="I12" s="14" t="s">
        <v>308</v>
      </c>
    </row>
    <row r="13" spans="1:9" ht="20.100000000000001" customHeight="1" x14ac:dyDescent="0.4">
      <c r="A13" s="31" t="str">
        <f>HYPERLINK("https://hp.brs.nihon-u.ac.jp/~museum/doc/archive/a-b/a-b_00026_R.png","画像")</f>
        <v>画像</v>
      </c>
      <c r="B13" s="11" t="s">
        <v>340</v>
      </c>
      <c r="C13" s="12" t="s">
        <v>341</v>
      </c>
      <c r="D13" s="7" t="s">
        <v>4</v>
      </c>
      <c r="E13" s="8" t="s">
        <v>5</v>
      </c>
      <c r="F13" s="13" t="s">
        <v>342</v>
      </c>
      <c r="G13" s="14"/>
      <c r="H13" s="8" t="s">
        <v>7</v>
      </c>
      <c r="I13" s="14" t="s">
        <v>308</v>
      </c>
    </row>
    <row r="14" spans="1:9" ht="20.100000000000001" customHeight="1" x14ac:dyDescent="0.4">
      <c r="A14" s="31" t="str">
        <f>HYPERLINK("https://hp.brs.nihon-u.ac.jp/~museum/doc/archive/a-b/a-b_00027_R.png","画像")</f>
        <v>画像</v>
      </c>
      <c r="B14" s="11" t="s">
        <v>343</v>
      </c>
      <c r="C14" s="12" t="s">
        <v>344</v>
      </c>
      <c r="D14" s="7" t="s">
        <v>4</v>
      </c>
      <c r="E14" s="8" t="s">
        <v>5</v>
      </c>
      <c r="F14" s="13" t="s">
        <v>345</v>
      </c>
      <c r="G14" s="14"/>
      <c r="H14" s="8" t="s">
        <v>7</v>
      </c>
      <c r="I14" s="14" t="s">
        <v>294</v>
      </c>
    </row>
    <row r="15" spans="1:9" ht="20.100000000000001" customHeight="1" x14ac:dyDescent="0.4">
      <c r="A15" s="31" t="str">
        <f>HYPERLINK("https://hp.brs.nihon-u.ac.jp/~museum/doc/archive/a-b/a-b_00028_R.png","画像")</f>
        <v>画像</v>
      </c>
      <c r="B15" s="11" t="s">
        <v>346</v>
      </c>
      <c r="C15" s="12" t="s">
        <v>347</v>
      </c>
      <c r="D15" s="7" t="s">
        <v>4</v>
      </c>
      <c r="E15" s="8" t="s">
        <v>5</v>
      </c>
      <c r="F15" s="13" t="s">
        <v>348</v>
      </c>
      <c r="G15" s="14"/>
      <c r="H15" s="8" t="s">
        <v>7</v>
      </c>
      <c r="I15" s="14" t="s">
        <v>308</v>
      </c>
    </row>
    <row r="16" spans="1:9" ht="20.100000000000001" customHeight="1" x14ac:dyDescent="0.4">
      <c r="A16" s="31" t="str">
        <f>HYPERLINK("https://hp.brs.nihon-u.ac.jp/~museum/doc/archive/a-b/a-b_00029_R.png","画像")</f>
        <v>画像</v>
      </c>
      <c r="B16" s="11" t="s">
        <v>349</v>
      </c>
      <c r="C16" s="12" t="s">
        <v>350</v>
      </c>
      <c r="D16" s="7" t="s">
        <v>4</v>
      </c>
      <c r="E16" s="8" t="s">
        <v>5</v>
      </c>
      <c r="F16" s="13" t="s">
        <v>351</v>
      </c>
      <c r="G16" s="14" t="s">
        <v>16</v>
      </c>
      <c r="H16" s="8" t="s">
        <v>7</v>
      </c>
      <c r="I16" s="14" t="s">
        <v>308</v>
      </c>
    </row>
    <row r="17" spans="1:9" ht="20.100000000000001" customHeight="1" x14ac:dyDescent="0.4">
      <c r="A17" s="31" t="str">
        <f>HYPERLINK("https://hp.brs.nihon-u.ac.jp/~museum/doc/archive/a-b/a-b_00031_R.png","画像")</f>
        <v>画像</v>
      </c>
      <c r="B17" s="11" t="s">
        <v>354</v>
      </c>
      <c r="C17" s="12" t="s">
        <v>355</v>
      </c>
      <c r="D17" s="34" t="s">
        <v>4</v>
      </c>
      <c r="E17" s="8" t="s">
        <v>5</v>
      </c>
      <c r="F17" s="13" t="s">
        <v>356</v>
      </c>
      <c r="G17" s="14"/>
      <c r="H17" s="8" t="s">
        <v>7</v>
      </c>
      <c r="I17" s="14" t="s">
        <v>308</v>
      </c>
    </row>
    <row r="18" spans="1:9" ht="20.100000000000001" customHeight="1" x14ac:dyDescent="0.4">
      <c r="A18" s="31" t="str">
        <f>HYPERLINK("https://hp.brs.nihon-u.ac.jp/~museum/doc/archive/a-b/a-b_00162_R.png","画像")</f>
        <v>画像</v>
      </c>
      <c r="B18" s="11" t="s">
        <v>387</v>
      </c>
      <c r="C18" s="6" t="s">
        <v>388</v>
      </c>
      <c r="D18" s="7" t="s">
        <v>4</v>
      </c>
      <c r="E18" s="8" t="s">
        <v>5</v>
      </c>
      <c r="F18" s="13" t="s">
        <v>389</v>
      </c>
      <c r="G18" s="14"/>
      <c r="H18" s="8" t="s">
        <v>7</v>
      </c>
      <c r="I18" s="14" t="s">
        <v>308</v>
      </c>
    </row>
    <row r="19" spans="1:9" s="3" customFormat="1" ht="20.100000000000001" customHeight="1" x14ac:dyDescent="0.4">
      <c r="A19" s="32" t="str">
        <f>HYPERLINK("https://hp.brs.nihon-u.ac.jp/~museum/doc/archive/a-b/a-b_00184_R.png","画像")</f>
        <v>画像</v>
      </c>
      <c r="B19" s="5" t="s">
        <v>393</v>
      </c>
      <c r="C19" s="6" t="s">
        <v>394</v>
      </c>
      <c r="D19" s="7" t="s">
        <v>4</v>
      </c>
      <c r="E19" s="8" t="s">
        <v>5</v>
      </c>
      <c r="F19" s="9" t="s">
        <v>828</v>
      </c>
      <c r="G19" s="8"/>
      <c r="H19" s="8" t="s">
        <v>7</v>
      </c>
      <c r="I19" s="8" t="s">
        <v>308</v>
      </c>
    </row>
    <row r="20" spans="1:9" s="3" customFormat="1" ht="20.100000000000001" customHeight="1" x14ac:dyDescent="0.4">
      <c r="A20" s="32" t="str">
        <f>HYPERLINK("https://hp.brs.nihon-u.ac.jp/~museum/doc/archive/a-b/a-b_00186_R.png","画像")</f>
        <v>画像</v>
      </c>
      <c r="B20" s="5" t="s">
        <v>395</v>
      </c>
      <c r="C20" s="6" t="s">
        <v>396</v>
      </c>
      <c r="D20" s="7" t="s">
        <v>4</v>
      </c>
      <c r="E20" s="8" t="s">
        <v>5</v>
      </c>
      <c r="F20" s="9" t="s">
        <v>397</v>
      </c>
      <c r="G20" s="8"/>
      <c r="H20" s="8" t="s">
        <v>7</v>
      </c>
      <c r="I20" s="8" t="s">
        <v>308</v>
      </c>
    </row>
    <row r="21" spans="1:9" s="3" customFormat="1" ht="20.100000000000001" customHeight="1" x14ac:dyDescent="0.4">
      <c r="A21" s="32" t="str">
        <f>HYPERLINK("https://hp.brs.nihon-u.ac.jp/~museum/doc/archive/a-b/a-b_00188_R.png","画像")</f>
        <v>画像</v>
      </c>
      <c r="B21" s="5" t="s">
        <v>398</v>
      </c>
      <c r="C21" s="6" t="s">
        <v>399</v>
      </c>
      <c r="D21" s="7" t="s">
        <v>4</v>
      </c>
      <c r="E21" s="8" t="s">
        <v>5</v>
      </c>
      <c r="F21" s="9" t="s">
        <v>400</v>
      </c>
      <c r="G21" s="8"/>
      <c r="H21" s="8" t="s">
        <v>7</v>
      </c>
      <c r="I21" s="8" t="s">
        <v>294</v>
      </c>
    </row>
    <row r="22" spans="1:9" s="3" customFormat="1" ht="20.100000000000001" customHeight="1" x14ac:dyDescent="0.4">
      <c r="A22" s="32" t="str">
        <f>HYPERLINK("https://hp.brs.nihon-u.ac.jp/~museum/doc/archive/a-b/a-b_00192_R.png","画像")</f>
        <v>画像</v>
      </c>
      <c r="B22" s="5" t="s">
        <v>402</v>
      </c>
      <c r="C22" s="6" t="s">
        <v>403</v>
      </c>
      <c r="D22" s="7" t="s">
        <v>4</v>
      </c>
      <c r="E22" s="8" t="s">
        <v>5</v>
      </c>
      <c r="F22" s="9" t="s">
        <v>404</v>
      </c>
      <c r="G22" s="8"/>
      <c r="H22" s="8" t="s">
        <v>7</v>
      </c>
      <c r="I22" s="8" t="s">
        <v>308</v>
      </c>
    </row>
    <row r="23" spans="1:9" s="3" customFormat="1" ht="20.100000000000001" customHeight="1" x14ac:dyDescent="0.4">
      <c r="A23" s="32"/>
      <c r="B23" s="5" t="s">
        <v>405</v>
      </c>
      <c r="C23" s="6" t="s">
        <v>406</v>
      </c>
      <c r="D23" s="7" t="s">
        <v>4</v>
      </c>
      <c r="E23" s="8" t="s">
        <v>5</v>
      </c>
      <c r="F23" s="9" t="s">
        <v>407</v>
      </c>
      <c r="G23" s="8"/>
      <c r="H23" s="8" t="s">
        <v>7</v>
      </c>
      <c r="I23" s="8" t="s">
        <v>308</v>
      </c>
    </row>
    <row r="24" spans="1:9" ht="20.100000000000001" customHeight="1" x14ac:dyDescent="0.4">
      <c r="A24" s="31" t="str">
        <f>HYPERLINK("https://hp.brs.nihon-u.ac.jp/~museum/doc/archive/a-b/a-b_00194_R.png","画像")</f>
        <v>画像</v>
      </c>
      <c r="B24" s="11" t="s">
        <v>408</v>
      </c>
      <c r="C24" s="12" t="s">
        <v>409</v>
      </c>
      <c r="D24" s="7" t="s">
        <v>4</v>
      </c>
      <c r="E24" s="8" t="s">
        <v>5</v>
      </c>
      <c r="F24" s="13" t="s">
        <v>410</v>
      </c>
      <c r="G24" s="14"/>
      <c r="H24" s="8" t="s">
        <v>7</v>
      </c>
      <c r="I24" s="14" t="s">
        <v>294</v>
      </c>
    </row>
    <row r="25" spans="1:9" s="3" customFormat="1" ht="20.100000000000001" customHeight="1" x14ac:dyDescent="0.4">
      <c r="A25" s="32"/>
      <c r="B25" s="5" t="s">
        <v>411</v>
      </c>
      <c r="C25" s="6" t="s">
        <v>412</v>
      </c>
      <c r="D25" s="7" t="s">
        <v>4</v>
      </c>
      <c r="E25" s="8" t="s">
        <v>5</v>
      </c>
      <c r="F25" s="9" t="s">
        <v>413</v>
      </c>
      <c r="G25" s="8"/>
      <c r="H25" s="8" t="s">
        <v>7</v>
      </c>
      <c r="I25" s="8" t="s">
        <v>294</v>
      </c>
    </row>
    <row r="26" spans="1:9" s="3" customFormat="1" ht="20.100000000000001" customHeight="1" x14ac:dyDescent="0.4">
      <c r="A26" s="32" t="str">
        <f>HYPERLINK("https://hp.brs.nihon-u.ac.jp/~museum/doc/archive/a-b/a-b_00200_R.png","画像")</f>
        <v>画像</v>
      </c>
      <c r="B26" s="5" t="s">
        <v>414</v>
      </c>
      <c r="C26" s="6" t="s">
        <v>415</v>
      </c>
      <c r="D26" s="7" t="s">
        <v>4</v>
      </c>
      <c r="E26" s="8" t="s">
        <v>31</v>
      </c>
      <c r="F26" s="9" t="s">
        <v>416</v>
      </c>
      <c r="G26" s="8"/>
      <c r="H26" s="8" t="s">
        <v>7</v>
      </c>
      <c r="I26" s="8" t="s">
        <v>294</v>
      </c>
    </row>
    <row r="27" spans="1:9" ht="20.100000000000001" customHeight="1" x14ac:dyDescent="0.4">
      <c r="A27" s="31" t="str">
        <f>HYPERLINK("https://hp.brs.nihon-u.ac.jp/~museum/doc/archive/a-b/a-b_00201_R.png","画像")</f>
        <v>画像</v>
      </c>
      <c r="B27" s="11" t="s">
        <v>417</v>
      </c>
      <c r="C27" s="12" t="s">
        <v>418</v>
      </c>
      <c r="D27" s="7" t="s">
        <v>4</v>
      </c>
      <c r="E27" s="8" t="s">
        <v>5</v>
      </c>
      <c r="F27" s="13" t="s">
        <v>327</v>
      </c>
      <c r="G27" s="14"/>
      <c r="H27" s="8" t="s">
        <v>7</v>
      </c>
      <c r="I27" s="14" t="s">
        <v>294</v>
      </c>
    </row>
    <row r="28" spans="1:9" s="3" customFormat="1" ht="20.100000000000001" customHeight="1" x14ac:dyDescent="0.4">
      <c r="A28" s="32" t="str">
        <f>HYPERLINK("https://hp.brs.nihon-u.ac.jp/~museum/doc/archive/a-b/a-b_00204_R.png","画像")</f>
        <v>画像</v>
      </c>
      <c r="B28" s="5" t="s">
        <v>419</v>
      </c>
      <c r="C28" s="6" t="s">
        <v>420</v>
      </c>
      <c r="D28" s="8" t="s">
        <v>4</v>
      </c>
      <c r="E28" s="8" t="s">
        <v>5</v>
      </c>
      <c r="F28" s="9" t="s">
        <v>372</v>
      </c>
      <c r="G28" s="14"/>
      <c r="H28" s="8" t="s">
        <v>7</v>
      </c>
      <c r="I28" s="8" t="s">
        <v>308</v>
      </c>
    </row>
    <row r="29" spans="1:9" s="3" customFormat="1" ht="20.100000000000001" customHeight="1" x14ac:dyDescent="0.4">
      <c r="A29" s="32" t="str">
        <f>HYPERLINK("https://hp.brs.nihon-u.ac.jp/~museum/doc/archive/a-b/a-b_00206_R.png","画像")</f>
        <v>画像</v>
      </c>
      <c r="B29" s="5" t="s">
        <v>421</v>
      </c>
      <c r="C29" s="6" t="s">
        <v>422</v>
      </c>
      <c r="D29" s="8" t="s">
        <v>4</v>
      </c>
      <c r="E29" s="8" t="s">
        <v>5</v>
      </c>
      <c r="F29" s="9" t="s">
        <v>423</v>
      </c>
      <c r="G29" s="14"/>
      <c r="H29" s="8" t="s">
        <v>7</v>
      </c>
      <c r="I29" s="8" t="s">
        <v>308</v>
      </c>
    </row>
    <row r="30" spans="1:9" s="3" customFormat="1" ht="20.100000000000001" customHeight="1" x14ac:dyDescent="0.4">
      <c r="A30" s="32" t="str">
        <f>HYPERLINK("https://hp.brs.nihon-u.ac.jp/~museum/doc/archive/a-b/a-b_00210_R.png","画像")</f>
        <v>画像</v>
      </c>
      <c r="B30" s="5" t="s">
        <v>426</v>
      </c>
      <c r="C30" s="6" t="s">
        <v>391</v>
      </c>
      <c r="D30" s="8" t="s">
        <v>4</v>
      </c>
      <c r="E30" s="8" t="s">
        <v>5</v>
      </c>
      <c r="F30" s="9" t="s">
        <v>392</v>
      </c>
      <c r="G30" s="8" t="s">
        <v>16</v>
      </c>
      <c r="H30" s="8" t="s">
        <v>7</v>
      </c>
      <c r="I30" s="8" t="s">
        <v>308</v>
      </c>
    </row>
    <row r="31" spans="1:9" s="3" customFormat="1" ht="20.100000000000001" customHeight="1" x14ac:dyDescent="0.4">
      <c r="A31" s="32" t="str">
        <f>HYPERLINK("https://hp.brs.nihon-u.ac.jp/~museum/doc/archive/a-b/a-b_00212_R.png","画像")</f>
        <v>画像</v>
      </c>
      <c r="B31" s="5" t="s">
        <v>428</v>
      </c>
      <c r="C31" s="6" t="s">
        <v>382</v>
      </c>
      <c r="D31" s="8" t="s">
        <v>4</v>
      </c>
      <c r="E31" s="8" t="s">
        <v>5</v>
      </c>
      <c r="F31" s="9" t="s">
        <v>371</v>
      </c>
      <c r="G31" s="8" t="s">
        <v>24</v>
      </c>
      <c r="H31" s="8" t="s">
        <v>7</v>
      </c>
      <c r="I31" s="8" t="s">
        <v>308</v>
      </c>
    </row>
    <row r="32" spans="1:9" s="3" customFormat="1" ht="20.100000000000001" customHeight="1" x14ac:dyDescent="0.4">
      <c r="A32" s="32" t="str">
        <f>HYPERLINK("https://hp.brs.nihon-u.ac.jp/~museum/doc/archive/a-b/a-b_00213_R.png","画像")</f>
        <v>画像</v>
      </c>
      <c r="B32" s="5" t="s">
        <v>429</v>
      </c>
      <c r="C32" s="6" t="s">
        <v>382</v>
      </c>
      <c r="D32" s="8" t="s">
        <v>4</v>
      </c>
      <c r="E32" s="8" t="s">
        <v>5</v>
      </c>
      <c r="F32" s="9" t="s">
        <v>371</v>
      </c>
      <c r="G32" s="8" t="s">
        <v>16</v>
      </c>
      <c r="H32" s="8" t="s">
        <v>7</v>
      </c>
      <c r="I32" s="8" t="s">
        <v>308</v>
      </c>
    </row>
    <row r="33" spans="1:9" s="3" customFormat="1" ht="20.100000000000001" customHeight="1" x14ac:dyDescent="0.4">
      <c r="A33" s="32" t="str">
        <f>HYPERLINK("https://hp.brs.nihon-u.ac.jp/~museum/doc/archive/a-b/a-b_00215_R.png","画像")</f>
        <v>画像</v>
      </c>
      <c r="B33" s="5" t="s">
        <v>430</v>
      </c>
      <c r="C33" s="6" t="s">
        <v>431</v>
      </c>
      <c r="D33" s="8" t="s">
        <v>4</v>
      </c>
      <c r="E33" s="8" t="s">
        <v>5</v>
      </c>
      <c r="F33" s="9" t="s">
        <v>367</v>
      </c>
      <c r="G33" s="8" t="s">
        <v>16</v>
      </c>
      <c r="H33" s="8" t="s">
        <v>7</v>
      </c>
      <c r="I33" s="8" t="s">
        <v>294</v>
      </c>
    </row>
    <row r="34" spans="1:9" s="3" customFormat="1" ht="20.100000000000001" customHeight="1" x14ac:dyDescent="0.4">
      <c r="A34" s="32" t="str">
        <f>HYPERLINK("https://hp.brs.nihon-u.ac.jp/~museum/doc/archive/a-b/a-b_00216_R.png","画像")</f>
        <v>画像</v>
      </c>
      <c r="B34" s="5" t="s">
        <v>432</v>
      </c>
      <c r="C34" s="6" t="s">
        <v>433</v>
      </c>
      <c r="D34" s="8" t="s">
        <v>4</v>
      </c>
      <c r="E34" s="8" t="s">
        <v>5</v>
      </c>
      <c r="F34" s="9" t="s">
        <v>817</v>
      </c>
      <c r="G34" s="8" t="s">
        <v>24</v>
      </c>
      <c r="H34" s="8" t="s">
        <v>7</v>
      </c>
      <c r="I34" s="8" t="s">
        <v>308</v>
      </c>
    </row>
    <row r="35" spans="1:9" s="3" customFormat="1" ht="20.100000000000001" customHeight="1" x14ac:dyDescent="0.4">
      <c r="A35" s="32" t="str">
        <f>HYPERLINK("https://hp.brs.nihon-u.ac.jp/~museum/doc/archive/a-b/a-b_00223_R.png","画像")</f>
        <v>画像</v>
      </c>
      <c r="B35" s="5" t="s">
        <v>435</v>
      </c>
      <c r="C35" s="6" t="s">
        <v>436</v>
      </c>
      <c r="D35" s="8" t="s">
        <v>4</v>
      </c>
      <c r="E35" s="8" t="s">
        <v>5</v>
      </c>
      <c r="F35" s="9" t="s">
        <v>437</v>
      </c>
      <c r="G35" s="8"/>
      <c r="H35" s="8" t="s">
        <v>7</v>
      </c>
      <c r="I35" s="8" t="s">
        <v>308</v>
      </c>
    </row>
    <row r="36" spans="1:9" s="3" customFormat="1" ht="20.100000000000001" customHeight="1" x14ac:dyDescent="0.4">
      <c r="A36" s="32"/>
      <c r="B36" s="5" t="s">
        <v>438</v>
      </c>
      <c r="C36" s="6" t="s">
        <v>439</v>
      </c>
      <c r="D36" s="8" t="s">
        <v>4</v>
      </c>
      <c r="E36" s="8" t="s">
        <v>5</v>
      </c>
      <c r="F36" s="9" t="s">
        <v>379</v>
      </c>
      <c r="G36" s="8"/>
      <c r="H36" s="8" t="s">
        <v>7</v>
      </c>
      <c r="I36" s="8" t="s">
        <v>308</v>
      </c>
    </row>
    <row r="37" spans="1:9" s="3" customFormat="1" ht="20.100000000000001" customHeight="1" x14ac:dyDescent="0.4">
      <c r="A37" s="32" t="str">
        <f>HYPERLINK("https://hp.brs.nihon-u.ac.jp/~museum/doc/archive/a-b/a-b_00229_R.png","画像")</f>
        <v>画像</v>
      </c>
      <c r="B37" s="5" t="s">
        <v>440</v>
      </c>
      <c r="C37" s="6" t="s">
        <v>441</v>
      </c>
      <c r="D37" s="8" t="s">
        <v>4</v>
      </c>
      <c r="E37" s="8" t="s">
        <v>5</v>
      </c>
      <c r="F37" s="9" t="s">
        <v>442</v>
      </c>
      <c r="G37" s="8"/>
      <c r="H37" s="8" t="s">
        <v>7</v>
      </c>
      <c r="I37" s="8" t="s">
        <v>308</v>
      </c>
    </row>
    <row r="38" spans="1:9" s="3" customFormat="1" ht="20.100000000000001" customHeight="1" x14ac:dyDescent="0.4">
      <c r="A38" s="32" t="str">
        <f>HYPERLINK("https://hp.brs.nihon-u.ac.jp/~museum/doc/archive/a-b/a-b_00230_R.png","画像")</f>
        <v>画像</v>
      </c>
      <c r="B38" s="5" t="s">
        <v>443</v>
      </c>
      <c r="C38" s="6" t="s">
        <v>444</v>
      </c>
      <c r="D38" s="8" t="s">
        <v>4</v>
      </c>
      <c r="E38" s="8" t="s">
        <v>5</v>
      </c>
      <c r="F38" s="9" t="s">
        <v>445</v>
      </c>
      <c r="G38" s="8" t="s">
        <v>24</v>
      </c>
      <c r="H38" s="8" t="s">
        <v>7</v>
      </c>
      <c r="I38" s="8" t="s">
        <v>308</v>
      </c>
    </row>
    <row r="39" spans="1:9" s="3" customFormat="1" ht="20.100000000000001" customHeight="1" x14ac:dyDescent="0.4">
      <c r="A39" s="32" t="str">
        <f>HYPERLINK("https://hp.brs.nihon-u.ac.jp/~museum/doc/archive/a-b/a-b_00232_R.png","画像")</f>
        <v>画像</v>
      </c>
      <c r="B39" s="5" t="s">
        <v>447</v>
      </c>
      <c r="C39" s="6" t="s">
        <v>448</v>
      </c>
      <c r="D39" s="8" t="s">
        <v>4</v>
      </c>
      <c r="E39" s="8" t="s">
        <v>5</v>
      </c>
      <c r="F39" s="9" t="s">
        <v>449</v>
      </c>
      <c r="G39" s="8" t="s">
        <v>16</v>
      </c>
      <c r="H39" s="8" t="s">
        <v>7</v>
      </c>
      <c r="I39" s="8" t="s">
        <v>294</v>
      </c>
    </row>
    <row r="40" spans="1:9" s="3" customFormat="1" ht="20.100000000000001" customHeight="1" x14ac:dyDescent="0.4">
      <c r="A40" s="32" t="str">
        <f>HYPERLINK("https://hp.brs.nihon-u.ac.jp/~museum/doc/archive/a-b/a-b_00235_R.png","画像")</f>
        <v>画像</v>
      </c>
      <c r="B40" s="5" t="s">
        <v>450</v>
      </c>
      <c r="C40" s="6" t="s">
        <v>451</v>
      </c>
      <c r="D40" s="8" t="s">
        <v>4</v>
      </c>
      <c r="E40" s="8" t="s">
        <v>5</v>
      </c>
      <c r="F40" s="9" t="s">
        <v>452</v>
      </c>
      <c r="G40" s="8"/>
      <c r="H40" s="8" t="s">
        <v>7</v>
      </c>
      <c r="I40" s="8" t="s">
        <v>294</v>
      </c>
    </row>
    <row r="41" spans="1:9" s="3" customFormat="1" ht="20.100000000000001" customHeight="1" x14ac:dyDescent="0.4">
      <c r="A41" s="32" t="str">
        <f>HYPERLINK("https://hp.brs.nihon-u.ac.jp/~museum/doc/archive/a-b/a-b_00238_R.png","画像")</f>
        <v>画像</v>
      </c>
      <c r="B41" s="5" t="s">
        <v>454</v>
      </c>
      <c r="C41" s="6" t="s">
        <v>455</v>
      </c>
      <c r="D41" s="8" t="s">
        <v>4</v>
      </c>
      <c r="E41" s="8" t="s">
        <v>5</v>
      </c>
      <c r="F41" s="9" t="s">
        <v>456</v>
      </c>
      <c r="G41" s="8"/>
      <c r="H41" s="8" t="s">
        <v>7</v>
      </c>
      <c r="I41" s="8" t="s">
        <v>308</v>
      </c>
    </row>
    <row r="42" spans="1:9" s="3" customFormat="1" ht="20.100000000000001" customHeight="1" x14ac:dyDescent="0.4">
      <c r="A42" s="32"/>
      <c r="B42" s="5" t="s">
        <v>457</v>
      </c>
      <c r="C42" s="6" t="s">
        <v>458</v>
      </c>
      <c r="D42" s="8" t="s">
        <v>4</v>
      </c>
      <c r="E42" s="8" t="s">
        <v>5</v>
      </c>
      <c r="F42" s="9" t="s">
        <v>416</v>
      </c>
      <c r="G42" s="8"/>
      <c r="H42" s="8" t="s">
        <v>7</v>
      </c>
      <c r="I42" s="8" t="s">
        <v>294</v>
      </c>
    </row>
    <row r="43" spans="1:9" s="3" customFormat="1" ht="20.100000000000001" customHeight="1" x14ac:dyDescent="0.4">
      <c r="A43" s="32" t="str">
        <f>HYPERLINK("https://hp.brs.nihon-u.ac.jp/~museum/doc/archive/a-b/a-b_00240_R.png","画像")</f>
        <v>画像</v>
      </c>
      <c r="B43" s="5" t="s">
        <v>459</v>
      </c>
      <c r="C43" s="6" t="s">
        <v>424</v>
      </c>
      <c r="D43" s="8" t="s">
        <v>4</v>
      </c>
      <c r="E43" s="8" t="s">
        <v>5</v>
      </c>
      <c r="F43" s="9" t="s">
        <v>425</v>
      </c>
      <c r="G43" s="8"/>
      <c r="H43" s="8" t="s">
        <v>7</v>
      </c>
      <c r="I43" s="8" t="s">
        <v>308</v>
      </c>
    </row>
    <row r="44" spans="1:9" s="3" customFormat="1" ht="20.100000000000001" customHeight="1" x14ac:dyDescent="0.4">
      <c r="A44" s="32" t="str">
        <f>HYPERLINK("https://hp.brs.nihon-u.ac.jp/~museum/doc/archive/a-b/a-b_00241_R.png","画像")</f>
        <v>画像</v>
      </c>
      <c r="B44" s="5" t="s">
        <v>460</v>
      </c>
      <c r="C44" s="6" t="s">
        <v>461</v>
      </c>
      <c r="D44" s="8" t="s">
        <v>4</v>
      </c>
      <c r="E44" s="8" t="s">
        <v>5</v>
      </c>
      <c r="F44" s="9" t="s">
        <v>818</v>
      </c>
      <c r="G44" s="8"/>
      <c r="H44" s="8" t="s">
        <v>7</v>
      </c>
      <c r="I44" s="8" t="s">
        <v>308</v>
      </c>
    </row>
    <row r="45" spans="1:9" s="3" customFormat="1" ht="20.100000000000001" customHeight="1" x14ac:dyDescent="0.4">
      <c r="A45" s="32" t="str">
        <f>HYPERLINK("https://hp.brs.nihon-u.ac.jp/~museum/doc/archive/a-b/a-b_00242_R.png","画像")</f>
        <v>画像</v>
      </c>
      <c r="B45" s="5" t="s">
        <v>462</v>
      </c>
      <c r="C45" s="6" t="s">
        <v>463</v>
      </c>
      <c r="D45" s="8" t="s">
        <v>4</v>
      </c>
      <c r="E45" s="8" t="s">
        <v>5</v>
      </c>
      <c r="F45" s="9" t="s">
        <v>464</v>
      </c>
      <c r="G45" s="8"/>
      <c r="H45" s="8" t="s">
        <v>7</v>
      </c>
      <c r="I45" s="8" t="s">
        <v>308</v>
      </c>
    </row>
    <row r="46" spans="1:9" s="3" customFormat="1" ht="20.100000000000001" customHeight="1" x14ac:dyDescent="0.4">
      <c r="A46" s="32" t="str">
        <f>HYPERLINK("https://hp.brs.nihon-u.ac.jp/~museum/doc/archive/a-b/a-b_00250_R.png","画像")</f>
        <v>画像</v>
      </c>
      <c r="B46" s="5" t="s">
        <v>465</v>
      </c>
      <c r="C46" s="6" t="s">
        <v>466</v>
      </c>
      <c r="D46" s="8" t="s">
        <v>4</v>
      </c>
      <c r="E46" s="8" t="s">
        <v>5</v>
      </c>
      <c r="F46" s="9" t="s">
        <v>467</v>
      </c>
      <c r="G46" s="8"/>
      <c r="H46" s="8" t="s">
        <v>7</v>
      </c>
      <c r="I46" s="8" t="s">
        <v>308</v>
      </c>
    </row>
    <row r="47" spans="1:9" s="3" customFormat="1" ht="20.100000000000001" customHeight="1" x14ac:dyDescent="0.4">
      <c r="A47" s="32" t="str">
        <f>HYPERLINK("https://hp.brs.nihon-u.ac.jp/~museum/doc/archive/a-b/a-b_00256_R.png","画像")</f>
        <v>画像</v>
      </c>
      <c r="B47" s="5" t="s">
        <v>471</v>
      </c>
      <c r="C47" s="6" t="s">
        <v>472</v>
      </c>
      <c r="D47" s="8" t="s">
        <v>4</v>
      </c>
      <c r="E47" s="8" t="s">
        <v>31</v>
      </c>
      <c r="F47" s="9" t="s">
        <v>473</v>
      </c>
      <c r="G47" s="8"/>
      <c r="H47" s="8" t="s">
        <v>7</v>
      </c>
      <c r="I47" s="8" t="s">
        <v>308</v>
      </c>
    </row>
    <row r="48" spans="1:9" s="3" customFormat="1" ht="20.100000000000001" customHeight="1" x14ac:dyDescent="0.4">
      <c r="A48" s="32" t="str">
        <f>HYPERLINK("https://hp.brs.nihon-u.ac.jp/~museum/doc/archive/a-b/a-b_00257_R.png","画像")</f>
        <v>画像</v>
      </c>
      <c r="B48" s="5" t="s">
        <v>474</v>
      </c>
      <c r="C48" s="6" t="s">
        <v>475</v>
      </c>
      <c r="D48" s="8" t="s">
        <v>4</v>
      </c>
      <c r="E48" s="8" t="s">
        <v>31</v>
      </c>
      <c r="F48" s="9" t="s">
        <v>342</v>
      </c>
      <c r="G48" s="8"/>
      <c r="H48" s="8" t="s">
        <v>7</v>
      </c>
      <c r="I48" s="8" t="s">
        <v>308</v>
      </c>
    </row>
    <row r="49" spans="1:9" s="3" customFormat="1" ht="20.100000000000001" customHeight="1" x14ac:dyDescent="0.4">
      <c r="A49" s="32" t="str">
        <f>HYPERLINK("https://hp.brs.nihon-u.ac.jp/~museum/doc/archive/a-b/a-b_00258_R.png","画像")</f>
        <v>画像</v>
      </c>
      <c r="B49" s="5" t="s">
        <v>476</v>
      </c>
      <c r="C49" s="6" t="s">
        <v>446</v>
      </c>
      <c r="D49" s="8" t="s">
        <v>4</v>
      </c>
      <c r="E49" s="8" t="s">
        <v>5</v>
      </c>
      <c r="F49" s="9" t="s">
        <v>345</v>
      </c>
      <c r="G49" s="8"/>
      <c r="H49" s="8" t="s">
        <v>7</v>
      </c>
      <c r="I49" s="8" t="s">
        <v>294</v>
      </c>
    </row>
    <row r="50" spans="1:9" ht="20.100000000000001" customHeight="1" x14ac:dyDescent="0.4">
      <c r="A50" s="31" t="str">
        <f>HYPERLINK("https://hp.brs.nihon-u.ac.jp/~museum/doc/archive/a-b/a-b_00259_R.png","画像")</f>
        <v>画像</v>
      </c>
      <c r="B50" s="11" t="s">
        <v>477</v>
      </c>
      <c r="C50" s="12" t="s">
        <v>369</v>
      </c>
      <c r="D50" s="14" t="s">
        <v>4</v>
      </c>
      <c r="E50" s="14" t="s">
        <v>5</v>
      </c>
      <c r="F50" s="13" t="s">
        <v>819</v>
      </c>
      <c r="G50" s="14" t="s">
        <v>24</v>
      </c>
      <c r="H50" s="14" t="s">
        <v>7</v>
      </c>
      <c r="I50" s="14" t="s">
        <v>294</v>
      </c>
    </row>
    <row r="51" spans="1:9" s="3" customFormat="1" ht="20.100000000000001" customHeight="1" x14ac:dyDescent="0.4">
      <c r="A51" s="32" t="str">
        <f>HYPERLINK("https://hp.brs.nihon-u.ac.jp/~museum/doc/archive/a-b/a-b_00260_R.png","画像")</f>
        <v>画像</v>
      </c>
      <c r="B51" s="5" t="s">
        <v>478</v>
      </c>
      <c r="C51" s="6" t="s">
        <v>369</v>
      </c>
      <c r="D51" s="8" t="s">
        <v>4</v>
      </c>
      <c r="E51" s="8" t="s">
        <v>5</v>
      </c>
      <c r="F51" s="9" t="s">
        <v>370</v>
      </c>
      <c r="G51" s="8" t="s">
        <v>24</v>
      </c>
      <c r="H51" s="8" t="s">
        <v>7</v>
      </c>
      <c r="I51" s="8" t="s">
        <v>308</v>
      </c>
    </row>
    <row r="52" spans="1:9" s="3" customFormat="1" ht="20.100000000000001" customHeight="1" x14ac:dyDescent="0.4">
      <c r="A52" s="32" t="str">
        <f>HYPERLINK("https://hp.brs.nihon-u.ac.jp/~museum/doc/archive/a-b/a-b_00261_R.png","画像")</f>
        <v>画像</v>
      </c>
      <c r="B52" s="5" t="s">
        <v>479</v>
      </c>
      <c r="C52" s="6" t="s">
        <v>480</v>
      </c>
      <c r="D52" s="8" t="s">
        <v>4</v>
      </c>
      <c r="E52" s="8" t="s">
        <v>5</v>
      </c>
      <c r="F52" s="9" t="s">
        <v>366</v>
      </c>
      <c r="G52" s="8"/>
      <c r="H52" s="8" t="s">
        <v>7</v>
      </c>
      <c r="I52" s="8" t="s">
        <v>308</v>
      </c>
    </row>
    <row r="53" spans="1:9" s="3" customFormat="1" ht="20.100000000000001" customHeight="1" x14ac:dyDescent="0.4">
      <c r="A53" s="32" t="str">
        <f>HYPERLINK("https://hp.brs.nihon-u.ac.jp/~museum/doc/archive/a-b/a-b_00263_R.png","画像")</f>
        <v>画像</v>
      </c>
      <c r="B53" s="5" t="s">
        <v>481</v>
      </c>
      <c r="C53" s="6" t="s">
        <v>361</v>
      </c>
      <c r="D53" s="8" t="s">
        <v>4</v>
      </c>
      <c r="E53" s="8" t="s">
        <v>5</v>
      </c>
      <c r="F53" s="9" t="s">
        <v>362</v>
      </c>
      <c r="G53" s="8" t="s">
        <v>24</v>
      </c>
      <c r="H53" s="8" t="s">
        <v>7</v>
      </c>
      <c r="I53" s="8" t="s">
        <v>308</v>
      </c>
    </row>
    <row r="54" spans="1:9" s="3" customFormat="1" ht="20.100000000000001" customHeight="1" x14ac:dyDescent="0.4">
      <c r="A54" s="32" t="str">
        <f>HYPERLINK("https://hp.brs.nihon-u.ac.jp/~museum/doc/archive/a-b/a-b_00264_R.png","画像")</f>
        <v>画像</v>
      </c>
      <c r="B54" s="5" t="s">
        <v>482</v>
      </c>
      <c r="C54" s="6" t="s">
        <v>483</v>
      </c>
      <c r="D54" s="8" t="s">
        <v>4</v>
      </c>
      <c r="E54" s="8" t="s">
        <v>5</v>
      </c>
      <c r="F54" s="9" t="s">
        <v>373</v>
      </c>
      <c r="G54" s="8"/>
      <c r="H54" s="8" t="s">
        <v>7</v>
      </c>
      <c r="I54" s="8" t="s">
        <v>308</v>
      </c>
    </row>
    <row r="55" spans="1:9" s="3" customFormat="1" ht="20.100000000000001" customHeight="1" x14ac:dyDescent="0.4">
      <c r="A55" s="32" t="str">
        <f>HYPERLINK("https://hp.brs.nihon-u.ac.jp/~museum/doc/archive/a-b/a-b_00265_R.png","画像")</f>
        <v>画像</v>
      </c>
      <c r="B55" s="5" t="s">
        <v>484</v>
      </c>
      <c r="C55" s="6" t="s">
        <v>390</v>
      </c>
      <c r="D55" s="8" t="s">
        <v>4</v>
      </c>
      <c r="E55" s="8" t="s">
        <v>5</v>
      </c>
      <c r="F55" s="9" t="s">
        <v>365</v>
      </c>
      <c r="G55" s="8"/>
      <c r="H55" s="8" t="s">
        <v>7</v>
      </c>
      <c r="I55" s="8" t="s">
        <v>308</v>
      </c>
    </row>
    <row r="56" spans="1:9" s="3" customFormat="1" ht="20.100000000000001" customHeight="1" x14ac:dyDescent="0.4">
      <c r="A56" s="32" t="str">
        <f>HYPERLINK("https://hp.brs.nihon-u.ac.jp/~museum/doc/archive/a-b/a-b_00266_R.png","画像")</f>
        <v>画像</v>
      </c>
      <c r="B56" s="5" t="s">
        <v>485</v>
      </c>
      <c r="C56" s="6" t="s">
        <v>364</v>
      </c>
      <c r="D56" s="8" t="s">
        <v>4</v>
      </c>
      <c r="E56" s="8" t="s">
        <v>5</v>
      </c>
      <c r="F56" s="9" t="s">
        <v>353</v>
      </c>
      <c r="G56" s="8" t="s">
        <v>24</v>
      </c>
      <c r="H56" s="8" t="s">
        <v>7</v>
      </c>
      <c r="I56" s="8" t="s">
        <v>308</v>
      </c>
    </row>
    <row r="57" spans="1:9" s="3" customFormat="1" ht="20.100000000000001" customHeight="1" x14ac:dyDescent="0.4">
      <c r="A57" s="32" t="str">
        <f>HYPERLINK("https://hp.brs.nihon-u.ac.jp/~museum/doc/archive/a-b/a-b_00267_R.png","画像")</f>
        <v>画像</v>
      </c>
      <c r="B57" s="5" t="s">
        <v>486</v>
      </c>
      <c r="C57" s="6" t="s">
        <v>487</v>
      </c>
      <c r="D57" s="8" t="s">
        <v>4</v>
      </c>
      <c r="E57" s="8" t="s">
        <v>5</v>
      </c>
      <c r="F57" s="9" t="s">
        <v>488</v>
      </c>
      <c r="G57" s="8"/>
      <c r="H57" s="8" t="s">
        <v>7</v>
      </c>
      <c r="I57" s="8" t="s">
        <v>308</v>
      </c>
    </row>
    <row r="58" spans="1:9" s="3" customFormat="1" ht="20.100000000000001" customHeight="1" x14ac:dyDescent="0.4">
      <c r="A58" s="32" t="str">
        <f>HYPERLINK("https://hp.brs.nihon-u.ac.jp/~museum/doc/archive/a-b/a-b_00268_R.png","画像")</f>
        <v>画像</v>
      </c>
      <c r="B58" s="5" t="s">
        <v>489</v>
      </c>
      <c r="C58" s="6" t="s">
        <v>490</v>
      </c>
      <c r="D58" s="8" t="s">
        <v>4</v>
      </c>
      <c r="E58" s="8" t="s">
        <v>31</v>
      </c>
      <c r="F58" s="9" t="s">
        <v>491</v>
      </c>
      <c r="G58" s="8"/>
      <c r="H58" s="8" t="s">
        <v>7</v>
      </c>
      <c r="I58" s="8" t="s">
        <v>308</v>
      </c>
    </row>
    <row r="59" spans="1:9" s="3" customFormat="1" ht="20.100000000000001" customHeight="1" x14ac:dyDescent="0.4">
      <c r="A59" s="32" t="str">
        <f>HYPERLINK("https://hp.brs.nihon-u.ac.jp/~museum/doc/archive/a-b/a-b_00269_R.png","画像")</f>
        <v>画像</v>
      </c>
      <c r="B59" s="5" t="s">
        <v>492</v>
      </c>
      <c r="C59" s="6" t="s">
        <v>493</v>
      </c>
      <c r="D59" s="8" t="s">
        <v>4</v>
      </c>
      <c r="E59" s="8" t="s">
        <v>31</v>
      </c>
      <c r="F59" s="9" t="s">
        <v>820</v>
      </c>
      <c r="G59" s="8"/>
      <c r="H59" s="8" t="s">
        <v>7</v>
      </c>
      <c r="I59" s="8" t="s">
        <v>308</v>
      </c>
    </row>
    <row r="60" spans="1:9" ht="20.100000000000001" customHeight="1" x14ac:dyDescent="0.4">
      <c r="A60" s="31" t="str">
        <f>HYPERLINK("https://hp.brs.nihon-u.ac.jp/~museum/doc/archive/a-b/a-b_00271_R.png","画像")</f>
        <v>画像</v>
      </c>
      <c r="B60" s="11" t="s">
        <v>494</v>
      </c>
      <c r="C60" s="12" t="s">
        <v>495</v>
      </c>
      <c r="D60" s="14" t="s">
        <v>4</v>
      </c>
      <c r="E60" s="14" t="s">
        <v>31</v>
      </c>
      <c r="F60" s="13" t="s">
        <v>821</v>
      </c>
      <c r="G60" s="14"/>
      <c r="H60" s="14" t="s">
        <v>7</v>
      </c>
      <c r="I60" s="14" t="s">
        <v>294</v>
      </c>
    </row>
    <row r="61" spans="1:9" s="3" customFormat="1" ht="20.100000000000001" customHeight="1" x14ac:dyDescent="0.4">
      <c r="A61" s="32" t="str">
        <f>HYPERLINK("https://hp.brs.nihon-u.ac.jp/~museum/doc/archive/a-b/a-b_00272_R.png","画像")</f>
        <v>画像</v>
      </c>
      <c r="B61" s="5" t="s">
        <v>496</v>
      </c>
      <c r="C61" s="6" t="s">
        <v>469</v>
      </c>
      <c r="D61" s="8" t="s">
        <v>4</v>
      </c>
      <c r="E61" s="8" t="s">
        <v>31</v>
      </c>
      <c r="F61" s="9" t="s">
        <v>470</v>
      </c>
      <c r="G61" s="8" t="s">
        <v>16</v>
      </c>
      <c r="H61" s="8" t="s">
        <v>7</v>
      </c>
      <c r="I61" s="8" t="s">
        <v>308</v>
      </c>
    </row>
    <row r="62" spans="1:9" s="3" customFormat="1" ht="20.100000000000001" customHeight="1" x14ac:dyDescent="0.4">
      <c r="A62" s="32" t="str">
        <f>HYPERLINK("https://hp.brs.nihon-u.ac.jp/~museum/doc/archive/a-b/a-b_00273_R.png","画像")</f>
        <v>画像</v>
      </c>
      <c r="B62" s="5" t="s">
        <v>497</v>
      </c>
      <c r="C62" s="6" t="s">
        <v>469</v>
      </c>
      <c r="D62" s="8" t="s">
        <v>4</v>
      </c>
      <c r="E62" s="8" t="s">
        <v>5</v>
      </c>
      <c r="F62" s="9" t="s">
        <v>470</v>
      </c>
      <c r="G62" s="8" t="s">
        <v>16</v>
      </c>
      <c r="H62" s="8" t="s">
        <v>7</v>
      </c>
      <c r="I62" s="8" t="s">
        <v>308</v>
      </c>
    </row>
    <row r="63" spans="1:9" s="3" customFormat="1" ht="20.100000000000001" customHeight="1" x14ac:dyDescent="0.4">
      <c r="A63" s="32" t="str">
        <f>HYPERLINK("https://hp.brs.nihon-u.ac.jp/~museum/doc/archive/a-b/a-b_00274_R.png","画像")</f>
        <v>画像</v>
      </c>
      <c r="B63" s="5" t="s">
        <v>498</v>
      </c>
      <c r="C63" s="6" t="s">
        <v>359</v>
      </c>
      <c r="D63" s="8" t="s">
        <v>4</v>
      </c>
      <c r="E63" s="8" t="s">
        <v>5</v>
      </c>
      <c r="F63" s="9" t="s">
        <v>360</v>
      </c>
      <c r="G63" s="8" t="s">
        <v>24</v>
      </c>
      <c r="H63" s="8" t="s">
        <v>7</v>
      </c>
      <c r="I63" s="8" t="s">
        <v>308</v>
      </c>
    </row>
    <row r="64" spans="1:9" ht="20.100000000000001" customHeight="1" x14ac:dyDescent="0.4">
      <c r="A64" s="31" t="str">
        <f>HYPERLINK("https://hp.brs.nihon-u.ac.jp/~museum/doc/archive/a-b/a-b_00275_R.png","画像")</f>
        <v>画像</v>
      </c>
      <c r="B64" s="11" t="s">
        <v>499</v>
      </c>
      <c r="C64" s="12" t="s">
        <v>495</v>
      </c>
      <c r="D64" s="14" t="s">
        <v>4</v>
      </c>
      <c r="E64" s="14" t="s">
        <v>5</v>
      </c>
      <c r="F64" s="13" t="s">
        <v>821</v>
      </c>
      <c r="G64" s="14"/>
      <c r="H64" s="14" t="s">
        <v>7</v>
      </c>
      <c r="I64" s="14" t="s">
        <v>294</v>
      </c>
    </row>
    <row r="65" spans="1:9" s="3" customFormat="1" ht="20.100000000000001" customHeight="1" x14ac:dyDescent="0.4">
      <c r="A65" s="32" t="str">
        <f>HYPERLINK("https://hp.brs.nihon-u.ac.jp/~museum/doc/archive/a-b/a-b_00277_R.png","画像")</f>
        <v>画像</v>
      </c>
      <c r="B65" s="5" t="s">
        <v>500</v>
      </c>
      <c r="C65" s="6" t="s">
        <v>501</v>
      </c>
      <c r="D65" s="8" t="s">
        <v>4</v>
      </c>
      <c r="E65" s="8" t="s">
        <v>5</v>
      </c>
      <c r="F65" s="9" t="s">
        <v>502</v>
      </c>
      <c r="G65" s="8" t="s">
        <v>24</v>
      </c>
      <c r="H65" s="8" t="s">
        <v>7</v>
      </c>
      <c r="I65" s="8" t="s">
        <v>308</v>
      </c>
    </row>
    <row r="66" spans="1:9" s="3" customFormat="1" ht="20.100000000000001" customHeight="1" x14ac:dyDescent="0.4">
      <c r="A66" s="32" t="str">
        <f>HYPERLINK("https://hp.brs.nihon-u.ac.jp/~museum/doc/archive/a-b/a-b_00279_R.png","画像")</f>
        <v>画像</v>
      </c>
      <c r="B66" s="5" t="s">
        <v>503</v>
      </c>
      <c r="C66" s="6" t="s">
        <v>504</v>
      </c>
      <c r="D66" s="8" t="s">
        <v>4</v>
      </c>
      <c r="E66" s="8" t="s">
        <v>5</v>
      </c>
      <c r="F66" s="9" t="s">
        <v>384</v>
      </c>
      <c r="G66" s="8"/>
      <c r="H66" s="8" t="s">
        <v>7</v>
      </c>
      <c r="I66" s="8" t="s">
        <v>308</v>
      </c>
    </row>
    <row r="67" spans="1:9" s="3" customFormat="1" ht="20.100000000000001" customHeight="1" x14ac:dyDescent="0.4">
      <c r="A67" s="32" t="str">
        <f>HYPERLINK("https://hp.brs.nihon-u.ac.jp/~museum/doc/archive/a-b/a-b_00280_R.png","画像")</f>
        <v>画像</v>
      </c>
      <c r="B67" s="5" t="s">
        <v>505</v>
      </c>
      <c r="C67" s="6" t="s">
        <v>501</v>
      </c>
      <c r="D67" s="8" t="s">
        <v>4</v>
      </c>
      <c r="E67" s="8" t="s">
        <v>31</v>
      </c>
      <c r="F67" s="9" t="s">
        <v>502</v>
      </c>
      <c r="G67" s="8"/>
      <c r="H67" s="8" t="s">
        <v>7</v>
      </c>
      <c r="I67" s="8" t="s">
        <v>308</v>
      </c>
    </row>
    <row r="68" spans="1:9" s="3" customFormat="1" ht="20.100000000000001" customHeight="1" x14ac:dyDescent="0.4">
      <c r="A68" s="32" t="str">
        <f>HYPERLINK("https://hp.brs.nihon-u.ac.jp/~museum/doc/archive/a-b/a-b_00281_R.png","画像")</f>
        <v>画像</v>
      </c>
      <c r="B68" s="5" t="s">
        <v>506</v>
      </c>
      <c r="C68" s="6" t="s">
        <v>507</v>
      </c>
      <c r="D68" s="8" t="s">
        <v>4</v>
      </c>
      <c r="E68" s="8" t="s">
        <v>5</v>
      </c>
      <c r="F68" s="9" t="s">
        <v>508</v>
      </c>
      <c r="G68" s="8" t="s">
        <v>16</v>
      </c>
      <c r="H68" s="8" t="s">
        <v>7</v>
      </c>
      <c r="I68" s="8" t="s">
        <v>308</v>
      </c>
    </row>
    <row r="69" spans="1:9" s="3" customFormat="1" ht="20.100000000000001" customHeight="1" x14ac:dyDescent="0.4">
      <c r="A69" s="32" t="str">
        <f>HYPERLINK("https://hp.brs.nihon-u.ac.jp/~museum/doc/archive/a-b/a-b_00282_R.png","画像")</f>
        <v>画像</v>
      </c>
      <c r="B69" s="5" t="s">
        <v>509</v>
      </c>
      <c r="C69" s="6" t="s">
        <v>507</v>
      </c>
      <c r="D69" s="8" t="s">
        <v>4</v>
      </c>
      <c r="E69" s="8" t="s">
        <v>5</v>
      </c>
      <c r="F69" s="9" t="s">
        <v>508</v>
      </c>
      <c r="G69" s="8" t="s">
        <v>24</v>
      </c>
      <c r="H69" s="8" t="s">
        <v>7</v>
      </c>
      <c r="I69" s="8" t="s">
        <v>308</v>
      </c>
    </row>
    <row r="70" spans="1:9" s="3" customFormat="1" ht="20.100000000000001" customHeight="1" x14ac:dyDescent="0.4">
      <c r="A70" s="32" t="str">
        <f>HYPERLINK("https://hp.brs.nihon-u.ac.jp/~museum/doc/archive/a-b/a-b_00283_R.png","画像")</f>
        <v>画像</v>
      </c>
      <c r="B70" s="5" t="s">
        <v>510</v>
      </c>
      <c r="C70" s="6" t="s">
        <v>434</v>
      </c>
      <c r="D70" s="8" t="s">
        <v>4</v>
      </c>
      <c r="E70" s="8" t="s">
        <v>5</v>
      </c>
      <c r="F70" s="9" t="s">
        <v>822</v>
      </c>
      <c r="G70" s="8" t="s">
        <v>16</v>
      </c>
      <c r="H70" s="8" t="s">
        <v>7</v>
      </c>
      <c r="I70" s="8" t="s">
        <v>308</v>
      </c>
    </row>
    <row r="71" spans="1:9" s="3" customFormat="1" ht="20.100000000000001" customHeight="1" x14ac:dyDescent="0.4">
      <c r="A71" s="32" t="str">
        <f>HYPERLINK("https://hp.brs.nihon-u.ac.jp/~museum/doc/archive/a-b/a-b_00284_R.png","画像")</f>
        <v>画像</v>
      </c>
      <c r="B71" s="5" t="s">
        <v>511</v>
      </c>
      <c r="C71" s="6" t="s">
        <v>378</v>
      </c>
      <c r="D71" s="8" t="s">
        <v>4</v>
      </c>
      <c r="E71" s="8" t="s">
        <v>5</v>
      </c>
      <c r="F71" s="9" t="s">
        <v>823</v>
      </c>
      <c r="G71" s="8" t="s">
        <v>16</v>
      </c>
      <c r="H71" s="8" t="s">
        <v>7</v>
      </c>
      <c r="I71" s="8" t="s">
        <v>308</v>
      </c>
    </row>
    <row r="72" spans="1:9" s="3" customFormat="1" ht="20.100000000000001" customHeight="1" x14ac:dyDescent="0.4">
      <c r="A72" s="32" t="str">
        <f>HYPERLINK("https://hp.brs.nihon-u.ac.jp/~museum/doc/archive/a-b/a-b_00285_R.png","画像")</f>
        <v>画像</v>
      </c>
      <c r="B72" s="5" t="s">
        <v>512</v>
      </c>
      <c r="C72" s="6" t="s">
        <v>439</v>
      </c>
      <c r="D72" s="8" t="s">
        <v>4</v>
      </c>
      <c r="E72" s="8" t="s">
        <v>5</v>
      </c>
      <c r="F72" s="9" t="s">
        <v>379</v>
      </c>
      <c r="G72" s="8"/>
      <c r="H72" s="8" t="s">
        <v>7</v>
      </c>
      <c r="I72" s="8" t="s">
        <v>308</v>
      </c>
    </row>
    <row r="73" spans="1:9" s="3" customFormat="1" ht="20.100000000000001" customHeight="1" x14ac:dyDescent="0.4">
      <c r="A73" s="32" t="str">
        <f>HYPERLINK("https://hp.brs.nihon-u.ac.jp/~museum/doc/archive/a-b/a-b_00286_R.png","画像")</f>
        <v>画像</v>
      </c>
      <c r="B73" s="5" t="s">
        <v>513</v>
      </c>
      <c r="C73" s="6" t="s">
        <v>514</v>
      </c>
      <c r="D73" s="8" t="s">
        <v>4</v>
      </c>
      <c r="E73" s="8" t="s">
        <v>5</v>
      </c>
      <c r="F73" s="9" t="s">
        <v>515</v>
      </c>
      <c r="G73" s="8" t="s">
        <v>24</v>
      </c>
      <c r="H73" s="8" t="s">
        <v>7</v>
      </c>
      <c r="I73" s="8" t="s">
        <v>308</v>
      </c>
    </row>
    <row r="74" spans="1:9" s="3" customFormat="1" ht="20.100000000000001" customHeight="1" x14ac:dyDescent="0.4">
      <c r="A74" s="32" t="str">
        <f>HYPERLINK("https://hp.brs.nihon-u.ac.jp/~museum/doc/archive/a-b/a-b_00287_R.png","画像")</f>
        <v>画像</v>
      </c>
      <c r="B74" s="5" t="s">
        <v>516</v>
      </c>
      <c r="C74" s="6" t="s">
        <v>517</v>
      </c>
      <c r="D74" s="8" t="s">
        <v>4</v>
      </c>
      <c r="E74" s="8" t="s">
        <v>5</v>
      </c>
      <c r="F74" s="9" t="s">
        <v>375</v>
      </c>
      <c r="G74" s="8" t="s">
        <v>24</v>
      </c>
      <c r="H74" s="8" t="s">
        <v>7</v>
      </c>
      <c r="I74" s="8" t="s">
        <v>308</v>
      </c>
    </row>
    <row r="75" spans="1:9" s="3" customFormat="1" ht="20.100000000000001" customHeight="1" x14ac:dyDescent="0.4">
      <c r="A75" s="32" t="str">
        <f>HYPERLINK("https://hp.brs.nihon-u.ac.jp/~museum/doc/archive/a-b/a-b_00288_R.png","画像")</f>
        <v>画像</v>
      </c>
      <c r="B75" s="5" t="s">
        <v>518</v>
      </c>
      <c r="C75" s="6" t="s">
        <v>517</v>
      </c>
      <c r="D75" s="8" t="s">
        <v>4</v>
      </c>
      <c r="E75" s="8" t="s">
        <v>5</v>
      </c>
      <c r="F75" s="9" t="s">
        <v>375</v>
      </c>
      <c r="G75" s="8" t="s">
        <v>16</v>
      </c>
      <c r="H75" s="8" t="s">
        <v>7</v>
      </c>
      <c r="I75" s="8" t="s">
        <v>308</v>
      </c>
    </row>
    <row r="76" spans="1:9" s="3" customFormat="1" ht="20.100000000000001" customHeight="1" x14ac:dyDescent="0.4">
      <c r="A76" s="32" t="str">
        <f>HYPERLINK("https://hp.brs.nihon-u.ac.jp/~museum/doc/archive/a-b/a-b_00289_R.png","画像")</f>
        <v>画像</v>
      </c>
      <c r="B76" s="5" t="s">
        <v>519</v>
      </c>
      <c r="C76" s="6" t="s">
        <v>520</v>
      </c>
      <c r="D76" s="8" t="s">
        <v>4</v>
      </c>
      <c r="E76" s="8" t="s">
        <v>5</v>
      </c>
      <c r="F76" s="9" t="s">
        <v>521</v>
      </c>
      <c r="G76" s="8" t="s">
        <v>24</v>
      </c>
      <c r="H76" s="8" t="s">
        <v>7</v>
      </c>
      <c r="I76" s="8" t="s">
        <v>308</v>
      </c>
    </row>
    <row r="77" spans="1:9" s="3" customFormat="1" ht="20.100000000000001" customHeight="1" x14ac:dyDescent="0.4">
      <c r="A77" s="32" t="str">
        <f>HYPERLINK("https://hp.brs.nihon-u.ac.jp/~museum/doc/archive/a-b/a-b_00291_R.png","画像")</f>
        <v>画像</v>
      </c>
      <c r="B77" s="5" t="s">
        <v>522</v>
      </c>
      <c r="C77" s="6" t="s">
        <v>523</v>
      </c>
      <c r="D77" s="8" t="s">
        <v>4</v>
      </c>
      <c r="E77" s="8" t="s">
        <v>5</v>
      </c>
      <c r="F77" s="9" t="s">
        <v>824</v>
      </c>
      <c r="G77" s="8" t="s">
        <v>16</v>
      </c>
      <c r="H77" s="8" t="s">
        <v>7</v>
      </c>
      <c r="I77" s="8" t="s">
        <v>308</v>
      </c>
    </row>
    <row r="78" spans="1:9" s="3" customFormat="1" ht="20.100000000000001" customHeight="1" x14ac:dyDescent="0.4">
      <c r="A78" s="32" t="str">
        <f>HYPERLINK("https://hp.brs.nihon-u.ac.jp/~museum/doc/archive/a-b/a-b_00292_R.png","画像")</f>
        <v>画像</v>
      </c>
      <c r="B78" s="5" t="s">
        <v>524</v>
      </c>
      <c r="C78" s="6" t="s">
        <v>525</v>
      </c>
      <c r="D78" s="8" t="s">
        <v>4</v>
      </c>
      <c r="E78" s="8" t="s">
        <v>5</v>
      </c>
      <c r="F78" s="9" t="s">
        <v>526</v>
      </c>
      <c r="G78" s="8" t="s">
        <v>24</v>
      </c>
      <c r="H78" s="8" t="s">
        <v>7</v>
      </c>
      <c r="I78" s="8" t="s">
        <v>308</v>
      </c>
    </row>
    <row r="79" spans="1:9" s="3" customFormat="1" ht="20.100000000000001" customHeight="1" x14ac:dyDescent="0.4">
      <c r="A79" s="32" t="str">
        <f>HYPERLINK("https://hp.brs.nihon-u.ac.jp/~museum/doc/archive/a-b/a-b_00293_R.png","画像")</f>
        <v>画像</v>
      </c>
      <c r="B79" s="5" t="s">
        <v>527</v>
      </c>
      <c r="C79" s="6" t="s">
        <v>427</v>
      </c>
      <c r="D79" s="8" t="s">
        <v>4</v>
      </c>
      <c r="E79" s="8" t="s">
        <v>5</v>
      </c>
      <c r="F79" s="9" t="s">
        <v>363</v>
      </c>
      <c r="G79" s="8" t="s">
        <v>16</v>
      </c>
      <c r="H79" s="8" t="s">
        <v>7</v>
      </c>
      <c r="I79" s="8" t="s">
        <v>308</v>
      </c>
    </row>
    <row r="80" spans="1:9" s="3" customFormat="1" ht="20.100000000000001" customHeight="1" x14ac:dyDescent="0.4">
      <c r="A80" s="32"/>
      <c r="B80" s="5" t="s">
        <v>528</v>
      </c>
      <c r="C80" s="6" t="s">
        <v>529</v>
      </c>
      <c r="D80" s="8" t="s">
        <v>4</v>
      </c>
      <c r="E80" s="8" t="s">
        <v>5</v>
      </c>
      <c r="F80" s="9" t="s">
        <v>530</v>
      </c>
      <c r="G80" s="8" t="s">
        <v>16</v>
      </c>
      <c r="H80" s="8" t="s">
        <v>7</v>
      </c>
      <c r="I80" s="8" t="s">
        <v>294</v>
      </c>
    </row>
    <row r="81" spans="1:9" s="3" customFormat="1" ht="20.100000000000001" customHeight="1" x14ac:dyDescent="0.4">
      <c r="A81" s="32"/>
      <c r="B81" s="5" t="s">
        <v>531</v>
      </c>
      <c r="C81" s="6" t="s">
        <v>468</v>
      </c>
      <c r="D81" s="8" t="s">
        <v>4</v>
      </c>
      <c r="E81" s="8" t="s">
        <v>5</v>
      </c>
      <c r="F81" s="9" t="s">
        <v>825</v>
      </c>
      <c r="G81" s="8" t="s">
        <v>24</v>
      </c>
      <c r="H81" s="8" t="s">
        <v>7</v>
      </c>
      <c r="I81" s="8" t="s">
        <v>308</v>
      </c>
    </row>
    <row r="82" spans="1:9" s="3" customFormat="1" ht="20.100000000000001" customHeight="1" x14ac:dyDescent="0.4">
      <c r="A82" s="32" t="str">
        <f>HYPERLINK("https://hp.brs.nihon-u.ac.jp/~museum/doc/archive/a-b/a-b_00296_R.png","画像")</f>
        <v>画像</v>
      </c>
      <c r="B82" s="5" t="s">
        <v>532</v>
      </c>
      <c r="C82" s="6" t="s">
        <v>533</v>
      </c>
      <c r="D82" s="8" t="s">
        <v>4</v>
      </c>
      <c r="E82" s="8" t="s">
        <v>5</v>
      </c>
      <c r="F82" s="9" t="s">
        <v>534</v>
      </c>
      <c r="G82" s="8" t="s">
        <v>24</v>
      </c>
      <c r="H82" s="8" t="s">
        <v>7</v>
      </c>
      <c r="I82" s="8" t="s">
        <v>308</v>
      </c>
    </row>
    <row r="83" spans="1:9" s="3" customFormat="1" ht="20.100000000000001" customHeight="1" x14ac:dyDescent="0.4">
      <c r="A83" s="32"/>
      <c r="B83" s="5" t="s">
        <v>535</v>
      </c>
      <c r="C83" s="6" t="s">
        <v>536</v>
      </c>
      <c r="D83" s="8" t="s">
        <v>4</v>
      </c>
      <c r="E83" s="8" t="s">
        <v>31</v>
      </c>
      <c r="F83" s="9" t="s">
        <v>537</v>
      </c>
      <c r="G83" s="8" t="s">
        <v>16</v>
      </c>
      <c r="H83" s="8" t="s">
        <v>7</v>
      </c>
      <c r="I83" s="8" t="s">
        <v>308</v>
      </c>
    </row>
    <row r="84" spans="1:9" s="3" customFormat="1" ht="20.100000000000001" customHeight="1" x14ac:dyDescent="0.4">
      <c r="A84" s="32" t="str">
        <f>HYPERLINK("https://hp.brs.nihon-u.ac.jp/~museum/doc/archive/a-b/a-b_00299_R.png","画像")</f>
        <v>画像</v>
      </c>
      <c r="B84" s="5" t="s">
        <v>538</v>
      </c>
      <c r="C84" s="6" t="s">
        <v>385</v>
      </c>
      <c r="D84" s="8" t="s">
        <v>4</v>
      </c>
      <c r="E84" s="8" t="s">
        <v>5</v>
      </c>
      <c r="F84" s="9" t="s">
        <v>386</v>
      </c>
      <c r="G84" s="8" t="s">
        <v>24</v>
      </c>
      <c r="H84" s="8" t="s">
        <v>7</v>
      </c>
      <c r="I84" s="8" t="s">
        <v>294</v>
      </c>
    </row>
    <row r="85" spans="1:9" s="3" customFormat="1" ht="20.100000000000001" customHeight="1" x14ac:dyDescent="0.4">
      <c r="A85" s="32" t="str">
        <f>HYPERLINK("https://hp.brs.nihon-u.ac.jp/~museum/doc/archive/a-b/a-b_00300_R.png","画像")</f>
        <v>画像</v>
      </c>
      <c r="B85" s="5" t="s">
        <v>539</v>
      </c>
      <c r="C85" s="6" t="s">
        <v>540</v>
      </c>
      <c r="D85" s="8" t="s">
        <v>4</v>
      </c>
      <c r="E85" s="8" t="s">
        <v>5</v>
      </c>
      <c r="F85" s="9" t="s">
        <v>541</v>
      </c>
      <c r="G85" s="8" t="s">
        <v>24</v>
      </c>
      <c r="H85" s="8" t="s">
        <v>7</v>
      </c>
      <c r="I85" s="8" t="s">
        <v>308</v>
      </c>
    </row>
    <row r="86" spans="1:9" s="3" customFormat="1" ht="20.100000000000001" customHeight="1" x14ac:dyDescent="0.4">
      <c r="A86" s="32" t="str">
        <f>HYPERLINK("https://hp.brs.nihon-u.ac.jp/~museum/doc/archive/a-b/a-b_00301_R.png","画像")</f>
        <v>画像</v>
      </c>
      <c r="B86" s="5" t="s">
        <v>542</v>
      </c>
      <c r="C86" s="6" t="s">
        <v>543</v>
      </c>
      <c r="D86" s="8" t="s">
        <v>4</v>
      </c>
      <c r="E86" s="8" t="s">
        <v>5</v>
      </c>
      <c r="F86" s="9" t="s">
        <v>544</v>
      </c>
      <c r="G86" s="8" t="s">
        <v>24</v>
      </c>
      <c r="H86" s="8" t="s">
        <v>7</v>
      </c>
      <c r="I86" s="8" t="s">
        <v>308</v>
      </c>
    </row>
    <row r="87" spans="1:9" s="3" customFormat="1" ht="20.100000000000001" customHeight="1" x14ac:dyDescent="0.4">
      <c r="A87" s="32" t="str">
        <f>HYPERLINK("https://hp.brs.nihon-u.ac.jp/~museum/doc/archive/a-b/a-b_00302_R.png","画像")</f>
        <v>画像</v>
      </c>
      <c r="B87" s="5" t="s">
        <v>545</v>
      </c>
      <c r="C87" s="6" t="s">
        <v>546</v>
      </c>
      <c r="D87" s="8" t="s">
        <v>4</v>
      </c>
      <c r="E87" s="8" t="s">
        <v>5</v>
      </c>
      <c r="F87" s="9" t="s">
        <v>826</v>
      </c>
      <c r="G87" s="8" t="s">
        <v>16</v>
      </c>
      <c r="H87" s="8" t="s">
        <v>7</v>
      </c>
      <c r="I87" s="8" t="s">
        <v>308</v>
      </c>
    </row>
    <row r="88" spans="1:9" s="3" customFormat="1" ht="20.100000000000001" customHeight="1" x14ac:dyDescent="0.4">
      <c r="A88" s="32"/>
      <c r="B88" s="5" t="s">
        <v>547</v>
      </c>
      <c r="C88" s="6" t="s">
        <v>380</v>
      </c>
      <c r="D88" s="8" t="s">
        <v>4</v>
      </c>
      <c r="E88" s="8" t="s">
        <v>5</v>
      </c>
      <c r="F88" s="9" t="s">
        <v>381</v>
      </c>
      <c r="G88" s="8" t="s">
        <v>24</v>
      </c>
      <c r="H88" s="8" t="s">
        <v>7</v>
      </c>
      <c r="I88" s="8" t="s">
        <v>294</v>
      </c>
    </row>
    <row r="89" spans="1:9" s="3" customFormat="1" ht="20.100000000000001" customHeight="1" x14ac:dyDescent="0.4">
      <c r="A89" s="32"/>
      <c r="B89" s="5" t="s">
        <v>548</v>
      </c>
      <c r="C89" s="6" t="s">
        <v>549</v>
      </c>
      <c r="D89" s="8" t="s">
        <v>4</v>
      </c>
      <c r="E89" s="8" t="s">
        <v>5</v>
      </c>
      <c r="F89" s="9" t="s">
        <v>425</v>
      </c>
      <c r="G89" s="8"/>
      <c r="H89" s="8" t="s">
        <v>7</v>
      </c>
      <c r="I89" s="8" t="s">
        <v>308</v>
      </c>
    </row>
    <row r="90" spans="1:9" s="3" customFormat="1" ht="20.100000000000001" customHeight="1" x14ac:dyDescent="0.4">
      <c r="A90" s="32"/>
      <c r="B90" s="5" t="s">
        <v>550</v>
      </c>
      <c r="C90" s="6" t="s">
        <v>551</v>
      </c>
      <c r="D90" s="8" t="s">
        <v>4</v>
      </c>
      <c r="E90" s="8" t="s">
        <v>5</v>
      </c>
      <c r="F90" s="9" t="s">
        <v>552</v>
      </c>
      <c r="G90" s="8" t="s">
        <v>16</v>
      </c>
      <c r="H90" s="8" t="s">
        <v>7</v>
      </c>
      <c r="I90" s="8" t="s">
        <v>294</v>
      </c>
    </row>
    <row r="91" spans="1:9" s="3" customFormat="1" ht="20.100000000000001" customHeight="1" x14ac:dyDescent="0.4">
      <c r="A91" s="32"/>
      <c r="B91" s="5" t="s">
        <v>553</v>
      </c>
      <c r="C91" s="6" t="s">
        <v>357</v>
      </c>
      <c r="D91" s="8" t="s">
        <v>4</v>
      </c>
      <c r="E91" s="8" t="s">
        <v>5</v>
      </c>
      <c r="F91" s="9" t="s">
        <v>358</v>
      </c>
      <c r="G91" s="8" t="s">
        <v>24</v>
      </c>
      <c r="H91" s="8" t="s">
        <v>7</v>
      </c>
      <c r="I91" s="8" t="s">
        <v>308</v>
      </c>
    </row>
    <row r="92" spans="1:9" s="3" customFormat="1" ht="20.100000000000001" customHeight="1" x14ac:dyDescent="0.4">
      <c r="A92" s="32"/>
      <c r="B92" s="5" t="s">
        <v>554</v>
      </c>
      <c r="C92" s="6" t="s">
        <v>555</v>
      </c>
      <c r="D92" s="8" t="s">
        <v>4</v>
      </c>
      <c r="E92" s="8" t="s">
        <v>31</v>
      </c>
      <c r="F92" s="9" t="s">
        <v>384</v>
      </c>
      <c r="G92" s="8"/>
      <c r="H92" s="8" t="s">
        <v>7</v>
      </c>
      <c r="I92" s="8" t="s">
        <v>308</v>
      </c>
    </row>
    <row r="93" spans="1:9" s="3" customFormat="1" ht="20.100000000000001" customHeight="1" x14ac:dyDescent="0.4">
      <c r="A93" s="32"/>
      <c r="B93" s="5" t="s">
        <v>556</v>
      </c>
      <c r="C93" s="6" t="s">
        <v>529</v>
      </c>
      <c r="D93" s="8" t="s">
        <v>4</v>
      </c>
      <c r="E93" s="8" t="s">
        <v>31</v>
      </c>
      <c r="F93" s="9" t="s">
        <v>557</v>
      </c>
      <c r="G93" s="8" t="s">
        <v>24</v>
      </c>
      <c r="H93" s="8" t="s">
        <v>7</v>
      </c>
      <c r="I93" s="8" t="s">
        <v>294</v>
      </c>
    </row>
    <row r="94" spans="1:9" ht="20.100000000000001" customHeight="1" x14ac:dyDescent="0.4">
      <c r="A94" s="31"/>
      <c r="B94" s="11" t="s">
        <v>558</v>
      </c>
      <c r="C94" s="6" t="s">
        <v>559</v>
      </c>
      <c r="D94" s="8" t="s">
        <v>4</v>
      </c>
      <c r="E94" s="8" t="s">
        <v>31</v>
      </c>
      <c r="F94" s="9" t="s">
        <v>827</v>
      </c>
      <c r="G94" s="8"/>
      <c r="H94" s="8" t="s">
        <v>7</v>
      </c>
      <c r="I94" s="8" t="s">
        <v>294</v>
      </c>
    </row>
    <row r="95" spans="1:9" s="3" customFormat="1" ht="20.100000000000001" customHeight="1" x14ac:dyDescent="0.4">
      <c r="A95" s="32"/>
      <c r="B95" s="5" t="s">
        <v>560</v>
      </c>
      <c r="C95" s="6" t="s">
        <v>458</v>
      </c>
      <c r="D95" s="8" t="s">
        <v>453</v>
      </c>
      <c r="E95" s="8" t="s">
        <v>352</v>
      </c>
      <c r="F95" s="9" t="s">
        <v>829</v>
      </c>
      <c r="G95" s="8"/>
      <c r="H95" s="8" t="s">
        <v>7</v>
      </c>
      <c r="I95" s="8" t="s">
        <v>294</v>
      </c>
    </row>
    <row r="96" spans="1:9" s="4" customFormat="1" ht="20.100000000000001" customHeight="1" x14ac:dyDescent="0.4">
      <c r="A96" s="31"/>
      <c r="B96" s="11" t="s">
        <v>561</v>
      </c>
      <c r="C96" s="14" t="s">
        <v>562</v>
      </c>
      <c r="D96" s="8" t="s">
        <v>4</v>
      </c>
      <c r="E96" s="8" t="s">
        <v>5</v>
      </c>
      <c r="F96" s="13" t="s">
        <v>401</v>
      </c>
      <c r="G96" s="14" t="s">
        <v>16</v>
      </c>
      <c r="H96" s="14" t="s">
        <v>7</v>
      </c>
      <c r="I96" s="14" t="s">
        <v>308</v>
      </c>
    </row>
    <row r="97" spans="1:33" s="4" customFormat="1" ht="20.100000000000001" customHeight="1" x14ac:dyDescent="0.4">
      <c r="A97" s="31"/>
      <c r="B97" s="11" t="s">
        <v>563</v>
      </c>
      <c r="C97" s="14" t="s">
        <v>374</v>
      </c>
      <c r="D97" s="8" t="s">
        <v>4</v>
      </c>
      <c r="E97" s="8" t="s">
        <v>5</v>
      </c>
      <c r="F97" s="13" t="s">
        <v>368</v>
      </c>
      <c r="G97" s="14" t="s">
        <v>16</v>
      </c>
      <c r="H97" s="14" t="s">
        <v>7</v>
      </c>
      <c r="I97" s="14" t="s">
        <v>308</v>
      </c>
    </row>
    <row r="98" spans="1:33" s="4" customFormat="1" ht="20.100000000000001" customHeight="1" x14ac:dyDescent="0.4">
      <c r="A98" s="31"/>
      <c r="B98" s="11" t="s">
        <v>564</v>
      </c>
      <c r="C98" s="8" t="s">
        <v>565</v>
      </c>
      <c r="D98" s="8" t="s">
        <v>4</v>
      </c>
      <c r="E98" s="8" t="s">
        <v>5</v>
      </c>
      <c r="F98" s="13" t="s">
        <v>566</v>
      </c>
      <c r="G98" s="14" t="s">
        <v>24</v>
      </c>
      <c r="H98" s="14" t="s">
        <v>7</v>
      </c>
      <c r="I98" s="14" t="s">
        <v>294</v>
      </c>
    </row>
    <row r="99" spans="1:33" s="4" customFormat="1" ht="20.100000000000001" customHeight="1" x14ac:dyDescent="0.4">
      <c r="A99" s="31"/>
      <c r="B99" s="11" t="s">
        <v>567</v>
      </c>
      <c r="C99" s="8" t="s">
        <v>565</v>
      </c>
      <c r="D99" s="8" t="s">
        <v>4</v>
      </c>
      <c r="E99" s="8" t="s">
        <v>31</v>
      </c>
      <c r="F99" s="13" t="s">
        <v>566</v>
      </c>
      <c r="G99" s="14" t="s">
        <v>16</v>
      </c>
      <c r="H99" s="14" t="s">
        <v>7</v>
      </c>
      <c r="I99" s="14" t="s">
        <v>294</v>
      </c>
    </row>
    <row r="100" spans="1:33" s="4" customFormat="1" ht="20.100000000000001" customHeight="1" x14ac:dyDescent="0.4">
      <c r="A100" s="31"/>
      <c r="B100" s="11" t="s">
        <v>568</v>
      </c>
      <c r="C100" s="8" t="s">
        <v>569</v>
      </c>
      <c r="D100" s="8" t="s">
        <v>4</v>
      </c>
      <c r="E100" s="8" t="s">
        <v>5</v>
      </c>
      <c r="F100" s="13" t="s">
        <v>570</v>
      </c>
      <c r="G100" s="14" t="s">
        <v>16</v>
      </c>
      <c r="H100" s="14" t="s">
        <v>7</v>
      </c>
      <c r="I100" s="14" t="s">
        <v>308</v>
      </c>
    </row>
    <row r="101" spans="1:33" s="4" customFormat="1" ht="20.100000000000001" customHeight="1" x14ac:dyDescent="0.4">
      <c r="A101" s="31"/>
      <c r="B101" s="11" t="s">
        <v>571</v>
      </c>
      <c r="C101" s="8" t="s">
        <v>383</v>
      </c>
      <c r="D101" s="8" t="s">
        <v>4</v>
      </c>
      <c r="E101" s="8" t="s">
        <v>5</v>
      </c>
      <c r="F101" s="13" t="s">
        <v>384</v>
      </c>
      <c r="G101" s="14" t="s">
        <v>24</v>
      </c>
      <c r="H101" s="14" t="s">
        <v>7</v>
      </c>
      <c r="I101" s="14" t="s">
        <v>308</v>
      </c>
    </row>
    <row r="102" spans="1:33" s="4" customFormat="1" ht="20.100000000000001" customHeight="1" x14ac:dyDescent="0.4">
      <c r="A102" s="31"/>
      <c r="B102" s="11" t="s">
        <v>572</v>
      </c>
      <c r="C102" s="8" t="s">
        <v>573</v>
      </c>
      <c r="D102" s="8" t="s">
        <v>4</v>
      </c>
      <c r="E102" s="8" t="s">
        <v>5</v>
      </c>
      <c r="F102" s="13" t="s">
        <v>574</v>
      </c>
      <c r="G102" s="14" t="s">
        <v>16</v>
      </c>
      <c r="H102" s="14" t="s">
        <v>7</v>
      </c>
      <c r="I102" s="14" t="s">
        <v>308</v>
      </c>
    </row>
    <row r="103" spans="1:33" s="4" customFormat="1" ht="20.100000000000001" customHeight="1" x14ac:dyDescent="0.4">
      <c r="A103" s="31"/>
      <c r="B103" s="11" t="s">
        <v>575</v>
      </c>
      <c r="C103" s="8" t="s">
        <v>376</v>
      </c>
      <c r="D103" s="8" t="s">
        <v>4</v>
      </c>
      <c r="E103" s="8" t="s">
        <v>5</v>
      </c>
      <c r="F103" s="13" t="s">
        <v>377</v>
      </c>
      <c r="G103" s="14" t="s">
        <v>576</v>
      </c>
      <c r="H103" s="14" t="s">
        <v>7</v>
      </c>
      <c r="I103" s="14" t="s">
        <v>308</v>
      </c>
    </row>
    <row r="104" spans="1:33" ht="20.100000000000001" customHeight="1" x14ac:dyDescent="0.4">
      <c r="A104" s="31"/>
      <c r="B104" s="11" t="s">
        <v>577</v>
      </c>
      <c r="C104" s="6" t="s">
        <v>578</v>
      </c>
      <c r="D104" s="14" t="s">
        <v>4</v>
      </c>
      <c r="E104" s="14" t="s">
        <v>5</v>
      </c>
      <c r="F104" s="13" t="s">
        <v>579</v>
      </c>
      <c r="G104" s="14" t="s">
        <v>16</v>
      </c>
      <c r="H104" s="14" t="s">
        <v>7</v>
      </c>
      <c r="I104" s="14" t="s">
        <v>308</v>
      </c>
    </row>
    <row r="105" spans="1:33" ht="20.100000000000001" customHeight="1" x14ac:dyDescent="0.4">
      <c r="A105" s="31"/>
      <c r="B105" s="11" t="s">
        <v>581</v>
      </c>
      <c r="C105" s="6" t="s">
        <v>582</v>
      </c>
      <c r="D105" s="14" t="s">
        <v>4</v>
      </c>
      <c r="E105" s="14" t="s">
        <v>5</v>
      </c>
      <c r="F105" s="13" t="s">
        <v>580</v>
      </c>
      <c r="G105" s="14" t="s">
        <v>24</v>
      </c>
      <c r="H105" s="14" t="s">
        <v>7</v>
      </c>
      <c r="I105" s="14" t="s">
        <v>295</v>
      </c>
    </row>
    <row r="106" spans="1:33" s="30" customFormat="1" ht="20.100000000000001" customHeight="1" x14ac:dyDescent="0.4">
      <c r="A106" s="31"/>
      <c r="B106" s="11" t="s">
        <v>583</v>
      </c>
      <c r="C106" s="6" t="s">
        <v>582</v>
      </c>
      <c r="D106" s="14" t="s">
        <v>4</v>
      </c>
      <c r="E106" s="14" t="s">
        <v>31</v>
      </c>
      <c r="F106" s="13" t="s">
        <v>580</v>
      </c>
      <c r="G106" s="14" t="s">
        <v>24</v>
      </c>
      <c r="H106" s="14" t="s">
        <v>7</v>
      </c>
      <c r="I106" s="14" t="s">
        <v>295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s="30" customFormat="1" ht="20.100000000000001" customHeight="1" x14ac:dyDescent="0.4">
      <c r="A107" s="31"/>
      <c r="B107" s="11" t="s">
        <v>584</v>
      </c>
      <c r="C107" s="12" t="s">
        <v>585</v>
      </c>
      <c r="D107" s="14" t="s">
        <v>4</v>
      </c>
      <c r="E107" s="14" t="s">
        <v>5</v>
      </c>
      <c r="F107" s="13" t="s">
        <v>586</v>
      </c>
      <c r="G107" s="14" t="s">
        <v>268</v>
      </c>
      <c r="H107" s="14" t="s">
        <v>7</v>
      </c>
      <c r="I107" s="14" t="s">
        <v>308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s="30" customFormat="1" ht="20.100000000000001" customHeight="1" x14ac:dyDescent="0.4">
      <c r="A108" s="31"/>
      <c r="B108" s="11" t="s">
        <v>587</v>
      </c>
      <c r="C108" s="12" t="s">
        <v>588</v>
      </c>
      <c r="D108" s="14" t="s">
        <v>4</v>
      </c>
      <c r="E108" s="14" t="s">
        <v>5</v>
      </c>
      <c r="F108" s="13" t="s">
        <v>589</v>
      </c>
      <c r="G108" s="14" t="s">
        <v>273</v>
      </c>
      <c r="H108" s="14" t="s">
        <v>7</v>
      </c>
      <c r="I108" s="14" t="s">
        <v>308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s="30" customFormat="1" ht="20.100000000000001" customHeight="1" x14ac:dyDescent="0.4">
      <c r="A109" s="31"/>
      <c r="B109" s="11" t="s">
        <v>590</v>
      </c>
      <c r="C109" s="12" t="s">
        <v>591</v>
      </c>
      <c r="D109" s="14" t="s">
        <v>4</v>
      </c>
      <c r="E109" s="14" t="s">
        <v>5</v>
      </c>
      <c r="F109" s="13" t="s">
        <v>592</v>
      </c>
      <c r="G109" s="14"/>
      <c r="H109" s="14" t="s">
        <v>7</v>
      </c>
      <c r="I109" s="14" t="s">
        <v>308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</sheetData>
  <phoneticPr fontId="2"/>
  <pageMargins left="0.70866141732283472" right="0.70866141732283472" top="0.35433070866141736" bottom="0.35433070866141736" header="0.31496062992125984" footer="0.31496062992125984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03AB2-E5EA-483B-9F24-3036125BB020}">
  <sheetPr>
    <pageSetUpPr fitToPage="1"/>
  </sheetPr>
  <dimension ref="A1:I127"/>
  <sheetViews>
    <sheetView workbookViewId="0">
      <selection activeCell="L11" sqref="L11"/>
    </sheetView>
  </sheetViews>
  <sheetFormatPr defaultColWidth="9" defaultRowHeight="20.100000000000001" customHeight="1" x14ac:dyDescent="0.4"/>
  <cols>
    <col min="1" max="1" width="9.75" style="35" customWidth="1"/>
    <col min="2" max="2" width="11.5" style="35" customWidth="1"/>
    <col min="3" max="3" width="27.75" style="36" customWidth="1"/>
    <col min="4" max="4" width="9" style="2"/>
    <col min="5" max="5" width="12.125" style="2" customWidth="1"/>
    <col min="6" max="6" width="18.375" style="37" customWidth="1"/>
    <col min="7" max="7" width="9" style="2"/>
    <col min="8" max="9" width="9" style="2" customWidth="1"/>
    <col min="10" max="16384" width="9" style="2"/>
  </cols>
  <sheetData>
    <row r="1" spans="1:9" s="1" customFormat="1" ht="20.100000000000001" customHeight="1" x14ac:dyDescent="0.4">
      <c r="A1" s="27" t="s">
        <v>593</v>
      </c>
      <c r="B1" s="27" t="s">
        <v>0</v>
      </c>
      <c r="C1" s="28" t="s">
        <v>639</v>
      </c>
      <c r="D1" s="28" t="s">
        <v>1</v>
      </c>
      <c r="E1" s="28" t="s">
        <v>291</v>
      </c>
      <c r="F1" s="29" t="s">
        <v>2</v>
      </c>
      <c r="G1" s="28" t="s">
        <v>3</v>
      </c>
      <c r="H1" s="28" t="s">
        <v>292</v>
      </c>
      <c r="I1" s="28" t="s">
        <v>293</v>
      </c>
    </row>
    <row r="2" spans="1:9" ht="20.100000000000001" customHeight="1" x14ac:dyDescent="0.4">
      <c r="A2" s="32" t="str">
        <f>HYPERLINK("https://hp.brs.nihon-u.ac.jp/~museum/doc/archive/a-c/a-c_00059_R.png","画像")</f>
        <v>画像</v>
      </c>
      <c r="B2" s="41" t="s">
        <v>597</v>
      </c>
      <c r="C2" s="43" t="s">
        <v>850</v>
      </c>
      <c r="D2" s="44" t="s">
        <v>4</v>
      </c>
      <c r="E2" s="45" t="s">
        <v>5</v>
      </c>
      <c r="F2" s="46" t="s">
        <v>851</v>
      </c>
      <c r="G2" s="45"/>
      <c r="H2" s="45" t="s">
        <v>7</v>
      </c>
      <c r="I2" s="45" t="s">
        <v>294</v>
      </c>
    </row>
    <row r="3" spans="1:9" ht="20.100000000000001" customHeight="1" x14ac:dyDescent="0.4">
      <c r="A3" s="32" t="str">
        <f>HYPERLINK("https://hp.brs.nihon-u.ac.jp/~museum/doc/archive/a-c/a-c_00061_R.png","画像")</f>
        <v>画像</v>
      </c>
      <c r="B3" s="41" t="s">
        <v>598</v>
      </c>
      <c r="C3" s="43" t="s">
        <v>599</v>
      </c>
      <c r="D3" s="44" t="s">
        <v>4</v>
      </c>
      <c r="E3" s="45" t="s">
        <v>5</v>
      </c>
      <c r="F3" s="46" t="s">
        <v>600</v>
      </c>
      <c r="G3" s="45"/>
      <c r="H3" s="45" t="s">
        <v>7</v>
      </c>
      <c r="I3" s="45" t="s">
        <v>294</v>
      </c>
    </row>
    <row r="4" spans="1:9" ht="20.100000000000001" customHeight="1" x14ac:dyDescent="0.4">
      <c r="A4" s="42"/>
      <c r="B4" s="41" t="s">
        <v>601</v>
      </c>
      <c r="C4" s="43" t="s">
        <v>595</v>
      </c>
      <c r="D4" s="44" t="s">
        <v>4</v>
      </c>
      <c r="E4" s="45" t="s">
        <v>31</v>
      </c>
      <c r="F4" s="46" t="s">
        <v>594</v>
      </c>
      <c r="G4" s="45"/>
      <c r="H4" s="45" t="s">
        <v>7</v>
      </c>
      <c r="I4" s="45" t="s">
        <v>294</v>
      </c>
    </row>
    <row r="5" spans="1:9" ht="20.100000000000001" customHeight="1" x14ac:dyDescent="0.4">
      <c r="A5" s="42"/>
      <c r="B5" s="41" t="s">
        <v>602</v>
      </c>
      <c r="C5" s="43" t="s">
        <v>603</v>
      </c>
      <c r="D5" s="44" t="s">
        <v>4</v>
      </c>
      <c r="E5" s="45" t="s">
        <v>5</v>
      </c>
      <c r="F5" s="46" t="s">
        <v>604</v>
      </c>
      <c r="G5" s="45"/>
      <c r="H5" s="45" t="s">
        <v>7</v>
      </c>
      <c r="I5" s="45" t="s">
        <v>294</v>
      </c>
    </row>
    <row r="6" spans="1:9" ht="20.100000000000001" customHeight="1" x14ac:dyDescent="0.4">
      <c r="A6" s="42"/>
      <c r="B6" s="41" t="s">
        <v>605</v>
      </c>
      <c r="C6" s="43" t="s">
        <v>606</v>
      </c>
      <c r="D6" s="44" t="s">
        <v>4</v>
      </c>
      <c r="E6" s="45" t="s">
        <v>5</v>
      </c>
      <c r="F6" s="46" t="s">
        <v>607</v>
      </c>
      <c r="G6" s="45"/>
      <c r="H6" s="45" t="s">
        <v>7</v>
      </c>
      <c r="I6" s="45" t="s">
        <v>295</v>
      </c>
    </row>
    <row r="7" spans="1:9" ht="20.100000000000001" customHeight="1" x14ac:dyDescent="0.4">
      <c r="A7" s="32" t="str">
        <f>HYPERLINK("https://hp.brs.nihon-u.ac.jp/~museum/doc/archive/a-c/a-c_00065_R.png","画像")</f>
        <v>画像</v>
      </c>
      <c r="B7" s="41" t="s">
        <v>608</v>
      </c>
      <c r="C7" s="43" t="s">
        <v>609</v>
      </c>
      <c r="D7" s="44" t="s">
        <v>4</v>
      </c>
      <c r="E7" s="45" t="s">
        <v>31</v>
      </c>
      <c r="F7" s="46" t="s">
        <v>610</v>
      </c>
      <c r="G7" s="45"/>
      <c r="H7" s="45" t="s">
        <v>7</v>
      </c>
      <c r="I7" s="45" t="s">
        <v>294</v>
      </c>
    </row>
    <row r="8" spans="1:9" ht="20.100000000000001" customHeight="1" x14ac:dyDescent="0.4">
      <c r="A8" s="32" t="str">
        <f>HYPERLINK("https://hp.brs.nihon-u.ac.jp/~museum/doc/archive/a-c/a-c_00066_R.png","画像")</f>
        <v>画像</v>
      </c>
      <c r="B8" s="41" t="s">
        <v>611</v>
      </c>
      <c r="C8" s="43" t="s">
        <v>612</v>
      </c>
      <c r="D8" s="44" t="s">
        <v>4</v>
      </c>
      <c r="E8" s="45" t="s">
        <v>31</v>
      </c>
      <c r="F8" s="46" t="s">
        <v>596</v>
      </c>
      <c r="G8" s="45"/>
      <c r="H8" s="45" t="s">
        <v>7</v>
      </c>
      <c r="I8" s="45" t="s">
        <v>295</v>
      </c>
    </row>
    <row r="9" spans="1:9" ht="20.100000000000001" customHeight="1" x14ac:dyDescent="0.4">
      <c r="A9" s="42"/>
      <c r="B9" s="41" t="s">
        <v>613</v>
      </c>
      <c r="C9" s="43" t="s">
        <v>614</v>
      </c>
      <c r="D9" s="44" t="s">
        <v>4</v>
      </c>
      <c r="E9" s="45" t="s">
        <v>31</v>
      </c>
      <c r="F9" s="46" t="s">
        <v>615</v>
      </c>
      <c r="G9" s="45"/>
      <c r="H9" s="45" t="s">
        <v>7</v>
      </c>
      <c r="I9" s="45" t="s">
        <v>294</v>
      </c>
    </row>
    <row r="10" spans="1:9" ht="20.100000000000001" customHeight="1" x14ac:dyDescent="0.4">
      <c r="A10" s="32" t="str">
        <f>HYPERLINK("https://hp.brs.nihon-u.ac.jp/~museum/doc/archive/a-c/a-c_00069_R.png","画像")</f>
        <v>画像</v>
      </c>
      <c r="B10" s="41" t="s">
        <v>618</v>
      </c>
      <c r="C10" s="43" t="s">
        <v>619</v>
      </c>
      <c r="D10" s="44" t="s">
        <v>4</v>
      </c>
      <c r="E10" s="45" t="s">
        <v>620</v>
      </c>
      <c r="F10" s="46" t="s">
        <v>621</v>
      </c>
      <c r="G10" s="45"/>
      <c r="H10" s="45" t="s">
        <v>7</v>
      </c>
      <c r="I10" s="45" t="s">
        <v>294</v>
      </c>
    </row>
    <row r="11" spans="1:9" ht="20.100000000000001" customHeight="1" x14ac:dyDescent="0.4">
      <c r="A11" s="32" t="str">
        <f>HYPERLINK("https://hp.brs.nihon-u.ac.jp/~museum/doc/archive/a-c/a-c_00070_R.png","画像")</f>
        <v>画像</v>
      </c>
      <c r="B11" s="41" t="s">
        <v>622</v>
      </c>
      <c r="C11" s="43" t="s">
        <v>619</v>
      </c>
      <c r="D11" s="44" t="s">
        <v>4</v>
      </c>
      <c r="E11" s="45" t="s">
        <v>620</v>
      </c>
      <c r="F11" s="46" t="s">
        <v>621</v>
      </c>
      <c r="G11" s="45"/>
      <c r="H11" s="45" t="s">
        <v>7</v>
      </c>
      <c r="I11" s="45" t="s">
        <v>294</v>
      </c>
    </row>
    <row r="12" spans="1:9" ht="20.100000000000001" customHeight="1" x14ac:dyDescent="0.4">
      <c r="A12" s="42"/>
      <c r="B12" s="41" t="s">
        <v>623</v>
      </c>
      <c r="C12" s="43" t="s">
        <v>624</v>
      </c>
      <c r="D12" s="44" t="s">
        <v>4</v>
      </c>
      <c r="E12" s="45" t="s">
        <v>5</v>
      </c>
      <c r="F12" s="46" t="s">
        <v>625</v>
      </c>
      <c r="G12" s="45"/>
      <c r="H12" s="45" t="s">
        <v>626</v>
      </c>
      <c r="I12" s="45" t="s">
        <v>294</v>
      </c>
    </row>
    <row r="13" spans="1:9" ht="20.100000000000001" customHeight="1" x14ac:dyDescent="0.4">
      <c r="A13" s="42"/>
      <c r="B13" s="41" t="s">
        <v>627</v>
      </c>
      <c r="C13" s="43" t="s">
        <v>628</v>
      </c>
      <c r="D13" s="44" t="s">
        <v>4</v>
      </c>
      <c r="E13" s="45" t="s">
        <v>5</v>
      </c>
      <c r="F13" s="46" t="s">
        <v>629</v>
      </c>
      <c r="G13" s="45" t="s">
        <v>16</v>
      </c>
      <c r="H13" s="45" t="s">
        <v>626</v>
      </c>
      <c r="I13" s="45" t="s">
        <v>294</v>
      </c>
    </row>
    <row r="14" spans="1:9" ht="20.100000000000001" customHeight="1" x14ac:dyDescent="0.4">
      <c r="A14" s="42"/>
      <c r="B14" s="41" t="s">
        <v>630</v>
      </c>
      <c r="C14" s="43" t="s">
        <v>628</v>
      </c>
      <c r="D14" s="44" t="s">
        <v>4</v>
      </c>
      <c r="E14" s="45" t="s">
        <v>631</v>
      </c>
      <c r="F14" s="46" t="s">
        <v>629</v>
      </c>
      <c r="G14" s="45" t="s">
        <v>16</v>
      </c>
      <c r="H14" s="45" t="s">
        <v>626</v>
      </c>
      <c r="I14" s="45" t="s">
        <v>294</v>
      </c>
    </row>
    <row r="15" spans="1:9" ht="20.100000000000001" customHeight="1" x14ac:dyDescent="0.4">
      <c r="A15" s="42"/>
      <c r="B15" s="41" t="s">
        <v>632</v>
      </c>
      <c r="C15" s="43" t="s">
        <v>633</v>
      </c>
      <c r="D15" s="44" t="s">
        <v>634</v>
      </c>
      <c r="E15" s="45" t="s">
        <v>631</v>
      </c>
      <c r="F15" s="46" t="s">
        <v>635</v>
      </c>
      <c r="G15" s="45"/>
      <c r="H15" s="45" t="s">
        <v>626</v>
      </c>
      <c r="I15" s="45" t="s">
        <v>294</v>
      </c>
    </row>
    <row r="16" spans="1:9" ht="20.100000000000001" customHeight="1" x14ac:dyDescent="0.4">
      <c r="A16" s="42"/>
      <c r="B16" s="41" t="s">
        <v>636</v>
      </c>
      <c r="C16" s="43" t="s">
        <v>595</v>
      </c>
      <c r="D16" s="44" t="s">
        <v>4</v>
      </c>
      <c r="E16" s="45" t="s">
        <v>5</v>
      </c>
      <c r="F16" s="46" t="s">
        <v>594</v>
      </c>
      <c r="G16" s="45"/>
      <c r="H16" s="45" t="s">
        <v>626</v>
      </c>
      <c r="I16" s="45" t="s">
        <v>294</v>
      </c>
    </row>
    <row r="17" spans="1:9" ht="20.100000000000001" customHeight="1" x14ac:dyDescent="0.4">
      <c r="A17" s="42"/>
      <c r="B17" s="41" t="s">
        <v>637</v>
      </c>
      <c r="C17" s="43" t="s">
        <v>606</v>
      </c>
      <c r="D17" s="44" t="s">
        <v>4</v>
      </c>
      <c r="E17" s="45" t="s">
        <v>5</v>
      </c>
      <c r="F17" s="46" t="s">
        <v>607</v>
      </c>
      <c r="G17" s="45"/>
      <c r="H17" s="45" t="s">
        <v>626</v>
      </c>
      <c r="I17" s="45" t="s">
        <v>295</v>
      </c>
    </row>
    <row r="18" spans="1:9" ht="20.100000000000001" customHeight="1" x14ac:dyDescent="0.4">
      <c r="A18" s="42"/>
      <c r="B18" s="41" t="s">
        <v>638</v>
      </c>
      <c r="C18" s="43" t="s">
        <v>616</v>
      </c>
      <c r="D18" s="44" t="s">
        <v>4</v>
      </c>
      <c r="E18" s="45" t="s">
        <v>5</v>
      </c>
      <c r="F18" s="46" t="s">
        <v>617</v>
      </c>
      <c r="G18" s="45"/>
      <c r="H18" s="45" t="s">
        <v>626</v>
      </c>
      <c r="I18" s="45" t="s">
        <v>295</v>
      </c>
    </row>
    <row r="19" spans="1:9" ht="20.100000000000001" customHeight="1" x14ac:dyDescent="0.4">
      <c r="D19" s="1"/>
    </row>
    <row r="20" spans="1:9" ht="20.100000000000001" customHeight="1" x14ac:dyDescent="0.4">
      <c r="D20" s="1"/>
    </row>
    <row r="21" spans="1:9" ht="20.100000000000001" customHeight="1" x14ac:dyDescent="0.4">
      <c r="D21" s="1"/>
    </row>
    <row r="22" spans="1:9" ht="20.100000000000001" customHeight="1" x14ac:dyDescent="0.4">
      <c r="D22" s="1"/>
    </row>
    <row r="23" spans="1:9" ht="20.100000000000001" customHeight="1" x14ac:dyDescent="0.4">
      <c r="D23" s="1"/>
    </row>
    <row r="24" spans="1:9" ht="20.100000000000001" customHeight="1" x14ac:dyDescent="0.4">
      <c r="D24" s="1"/>
    </row>
    <row r="25" spans="1:9" ht="20.100000000000001" customHeight="1" x14ac:dyDescent="0.4">
      <c r="D25" s="1"/>
    </row>
    <row r="26" spans="1:9" ht="20.100000000000001" customHeight="1" x14ac:dyDescent="0.4">
      <c r="D26" s="1"/>
    </row>
    <row r="27" spans="1:9" ht="20.100000000000001" customHeight="1" x14ac:dyDescent="0.4">
      <c r="D27" s="1"/>
    </row>
    <row r="28" spans="1:9" ht="20.100000000000001" customHeight="1" x14ac:dyDescent="0.4">
      <c r="D28" s="1"/>
    </row>
    <row r="29" spans="1:9" ht="20.100000000000001" customHeight="1" x14ac:dyDescent="0.4">
      <c r="D29" s="1"/>
    </row>
    <row r="30" spans="1:9" ht="20.100000000000001" customHeight="1" x14ac:dyDescent="0.4">
      <c r="D30" s="1"/>
    </row>
    <row r="31" spans="1:9" ht="20.100000000000001" customHeight="1" x14ac:dyDescent="0.4">
      <c r="D31" s="1"/>
    </row>
    <row r="32" spans="1:9" ht="20.100000000000001" customHeight="1" x14ac:dyDescent="0.4">
      <c r="D32" s="1"/>
    </row>
    <row r="33" spans="4:4" ht="20.100000000000001" customHeight="1" x14ac:dyDescent="0.4">
      <c r="D33" s="1"/>
    </row>
    <row r="34" spans="4:4" ht="20.100000000000001" customHeight="1" x14ac:dyDescent="0.4">
      <c r="D34" s="1"/>
    </row>
    <row r="35" spans="4:4" ht="20.100000000000001" customHeight="1" x14ac:dyDescent="0.4">
      <c r="D35" s="1"/>
    </row>
    <row r="36" spans="4:4" ht="20.100000000000001" customHeight="1" x14ac:dyDescent="0.4">
      <c r="D36" s="1"/>
    </row>
    <row r="37" spans="4:4" ht="20.100000000000001" customHeight="1" x14ac:dyDescent="0.4">
      <c r="D37" s="1"/>
    </row>
    <row r="38" spans="4:4" ht="20.100000000000001" customHeight="1" x14ac:dyDescent="0.4">
      <c r="D38" s="1"/>
    </row>
    <row r="39" spans="4:4" ht="20.100000000000001" customHeight="1" x14ac:dyDescent="0.4">
      <c r="D39" s="1"/>
    </row>
    <row r="40" spans="4:4" ht="20.100000000000001" customHeight="1" x14ac:dyDescent="0.4">
      <c r="D40" s="1"/>
    </row>
    <row r="41" spans="4:4" ht="20.100000000000001" customHeight="1" x14ac:dyDescent="0.4">
      <c r="D41" s="1"/>
    </row>
    <row r="42" spans="4:4" ht="20.100000000000001" customHeight="1" x14ac:dyDescent="0.4">
      <c r="D42" s="1"/>
    </row>
    <row r="43" spans="4:4" ht="20.100000000000001" customHeight="1" x14ac:dyDescent="0.4">
      <c r="D43" s="1"/>
    </row>
    <row r="44" spans="4:4" ht="20.100000000000001" customHeight="1" x14ac:dyDescent="0.4">
      <c r="D44" s="1"/>
    </row>
    <row r="45" spans="4:4" ht="20.100000000000001" customHeight="1" x14ac:dyDescent="0.4">
      <c r="D45" s="1"/>
    </row>
    <row r="46" spans="4:4" ht="20.100000000000001" customHeight="1" x14ac:dyDescent="0.4">
      <c r="D46" s="1"/>
    </row>
    <row r="47" spans="4:4" ht="20.100000000000001" customHeight="1" x14ac:dyDescent="0.4">
      <c r="D47" s="1"/>
    </row>
    <row r="48" spans="4:4" ht="20.100000000000001" customHeight="1" x14ac:dyDescent="0.4">
      <c r="D48" s="1"/>
    </row>
    <row r="49" spans="4:4" ht="20.100000000000001" customHeight="1" x14ac:dyDescent="0.4">
      <c r="D49" s="1"/>
    </row>
    <row r="50" spans="4:4" ht="20.100000000000001" customHeight="1" x14ac:dyDescent="0.4">
      <c r="D50" s="1"/>
    </row>
    <row r="51" spans="4:4" ht="20.100000000000001" customHeight="1" x14ac:dyDescent="0.4">
      <c r="D51" s="1"/>
    </row>
    <row r="52" spans="4:4" ht="20.100000000000001" customHeight="1" x14ac:dyDescent="0.4">
      <c r="D52" s="1"/>
    </row>
    <row r="53" spans="4:4" ht="20.100000000000001" customHeight="1" x14ac:dyDescent="0.4">
      <c r="D53" s="1"/>
    </row>
    <row r="54" spans="4:4" ht="20.100000000000001" customHeight="1" x14ac:dyDescent="0.4">
      <c r="D54" s="1"/>
    </row>
    <row r="55" spans="4:4" ht="20.100000000000001" customHeight="1" x14ac:dyDescent="0.4">
      <c r="D55" s="1"/>
    </row>
    <row r="56" spans="4:4" ht="20.100000000000001" customHeight="1" x14ac:dyDescent="0.4">
      <c r="D56" s="1"/>
    </row>
    <row r="57" spans="4:4" ht="20.100000000000001" customHeight="1" x14ac:dyDescent="0.4">
      <c r="D57" s="1"/>
    </row>
    <row r="58" spans="4:4" ht="20.100000000000001" customHeight="1" x14ac:dyDescent="0.4">
      <c r="D58" s="1"/>
    </row>
    <row r="59" spans="4:4" ht="20.100000000000001" customHeight="1" x14ac:dyDescent="0.4">
      <c r="D59" s="1"/>
    </row>
    <row r="60" spans="4:4" ht="20.100000000000001" customHeight="1" x14ac:dyDescent="0.4">
      <c r="D60" s="1"/>
    </row>
    <row r="61" spans="4:4" ht="20.100000000000001" customHeight="1" x14ac:dyDescent="0.4">
      <c r="D61" s="1"/>
    </row>
    <row r="62" spans="4:4" ht="20.100000000000001" customHeight="1" x14ac:dyDescent="0.4">
      <c r="D62" s="1"/>
    </row>
    <row r="63" spans="4:4" ht="20.100000000000001" customHeight="1" x14ac:dyDescent="0.4">
      <c r="D63" s="1"/>
    </row>
    <row r="64" spans="4:4" ht="20.100000000000001" customHeight="1" x14ac:dyDescent="0.4">
      <c r="D64" s="1"/>
    </row>
    <row r="65" spans="1:6" ht="20.100000000000001" customHeight="1" x14ac:dyDescent="0.4">
      <c r="D65" s="1"/>
    </row>
    <row r="66" spans="1:6" ht="20.100000000000001" customHeight="1" x14ac:dyDescent="0.4">
      <c r="D66" s="1"/>
    </row>
    <row r="67" spans="1:6" ht="20.100000000000001" customHeight="1" x14ac:dyDescent="0.4">
      <c r="D67" s="1"/>
    </row>
    <row r="68" spans="1:6" ht="20.100000000000001" customHeight="1" x14ac:dyDescent="0.4">
      <c r="D68" s="1"/>
    </row>
    <row r="69" spans="1:6" ht="20.100000000000001" customHeight="1" x14ac:dyDescent="0.4">
      <c r="D69" s="1"/>
    </row>
    <row r="70" spans="1:6" ht="20.100000000000001" customHeight="1" x14ac:dyDescent="0.4">
      <c r="D70" s="1"/>
    </row>
    <row r="71" spans="1:6" ht="20.100000000000001" customHeight="1" x14ac:dyDescent="0.4">
      <c r="D71" s="1"/>
    </row>
    <row r="72" spans="1:6" ht="20.100000000000001" customHeight="1" x14ac:dyDescent="0.4">
      <c r="D72" s="1"/>
    </row>
    <row r="73" spans="1:6" ht="20.100000000000001" customHeight="1" x14ac:dyDescent="0.4">
      <c r="D73" s="1"/>
    </row>
    <row r="74" spans="1:6" ht="20.100000000000001" customHeight="1" x14ac:dyDescent="0.4">
      <c r="D74" s="1"/>
    </row>
    <row r="75" spans="1:6" ht="20.100000000000001" customHeight="1" x14ac:dyDescent="0.4">
      <c r="D75" s="1"/>
    </row>
    <row r="76" spans="1:6" s="38" customFormat="1" ht="20.100000000000001" customHeight="1" x14ac:dyDescent="0.4">
      <c r="A76" s="35"/>
      <c r="B76" s="35"/>
      <c r="C76" s="39"/>
      <c r="D76" s="40"/>
      <c r="F76" s="37"/>
    </row>
    <row r="77" spans="1:6" ht="20.100000000000001" customHeight="1" x14ac:dyDescent="0.4">
      <c r="D77" s="1"/>
    </row>
    <row r="78" spans="1:6" ht="20.100000000000001" customHeight="1" x14ac:dyDescent="0.4">
      <c r="D78" s="1"/>
    </row>
    <row r="79" spans="1:6" ht="20.100000000000001" customHeight="1" x14ac:dyDescent="0.4">
      <c r="D79" s="1"/>
    </row>
    <row r="80" spans="1:6" ht="20.100000000000001" customHeight="1" x14ac:dyDescent="0.4">
      <c r="D80" s="1"/>
    </row>
    <row r="81" spans="4:4" ht="20.100000000000001" customHeight="1" x14ac:dyDescent="0.4">
      <c r="D81" s="1"/>
    </row>
    <row r="82" spans="4:4" ht="20.100000000000001" customHeight="1" x14ac:dyDescent="0.4">
      <c r="D82" s="1"/>
    </row>
    <row r="83" spans="4:4" ht="20.100000000000001" customHeight="1" x14ac:dyDescent="0.4">
      <c r="D83" s="1"/>
    </row>
    <row r="84" spans="4:4" ht="20.100000000000001" customHeight="1" x14ac:dyDescent="0.4">
      <c r="D84" s="1"/>
    </row>
    <row r="85" spans="4:4" ht="20.100000000000001" customHeight="1" x14ac:dyDescent="0.4">
      <c r="D85" s="1"/>
    </row>
    <row r="86" spans="4:4" ht="20.100000000000001" customHeight="1" x14ac:dyDescent="0.4">
      <c r="D86" s="1"/>
    </row>
    <row r="87" spans="4:4" ht="20.100000000000001" customHeight="1" x14ac:dyDescent="0.4">
      <c r="D87" s="1"/>
    </row>
    <row r="88" spans="4:4" ht="20.100000000000001" customHeight="1" x14ac:dyDescent="0.4">
      <c r="D88" s="1"/>
    </row>
    <row r="89" spans="4:4" ht="20.100000000000001" customHeight="1" x14ac:dyDescent="0.4">
      <c r="D89" s="1"/>
    </row>
    <row r="90" spans="4:4" ht="20.100000000000001" customHeight="1" x14ac:dyDescent="0.4">
      <c r="D90" s="1"/>
    </row>
    <row r="91" spans="4:4" ht="20.100000000000001" customHeight="1" x14ac:dyDescent="0.4">
      <c r="D91" s="1"/>
    </row>
    <row r="92" spans="4:4" ht="20.100000000000001" customHeight="1" x14ac:dyDescent="0.4">
      <c r="D92" s="1"/>
    </row>
    <row r="93" spans="4:4" ht="20.100000000000001" customHeight="1" x14ac:dyDescent="0.4">
      <c r="D93" s="1"/>
    </row>
    <row r="94" spans="4:4" ht="20.100000000000001" customHeight="1" x14ac:dyDescent="0.4">
      <c r="D94" s="1"/>
    </row>
    <row r="95" spans="4:4" ht="20.100000000000001" customHeight="1" x14ac:dyDescent="0.4">
      <c r="D95" s="1"/>
    </row>
    <row r="96" spans="4:4" ht="20.100000000000001" customHeight="1" x14ac:dyDescent="0.4">
      <c r="D96" s="1"/>
    </row>
    <row r="97" spans="4:4" ht="20.100000000000001" customHeight="1" x14ac:dyDescent="0.4">
      <c r="D97" s="1"/>
    </row>
    <row r="98" spans="4:4" ht="20.100000000000001" customHeight="1" x14ac:dyDescent="0.4">
      <c r="D98" s="1"/>
    </row>
    <row r="99" spans="4:4" ht="20.100000000000001" customHeight="1" x14ac:dyDescent="0.4">
      <c r="D99" s="1"/>
    </row>
    <row r="100" spans="4:4" ht="20.100000000000001" customHeight="1" x14ac:dyDescent="0.4">
      <c r="D100" s="1"/>
    </row>
    <row r="101" spans="4:4" ht="20.100000000000001" customHeight="1" x14ac:dyDescent="0.4">
      <c r="D101" s="1"/>
    </row>
    <row r="102" spans="4:4" ht="20.100000000000001" customHeight="1" x14ac:dyDescent="0.4">
      <c r="D102" s="1"/>
    </row>
    <row r="103" spans="4:4" ht="20.100000000000001" customHeight="1" x14ac:dyDescent="0.4">
      <c r="D103" s="1"/>
    </row>
    <row r="104" spans="4:4" ht="20.100000000000001" customHeight="1" x14ac:dyDescent="0.4">
      <c r="D104" s="1"/>
    </row>
    <row r="105" spans="4:4" ht="20.100000000000001" customHeight="1" x14ac:dyDescent="0.4">
      <c r="D105" s="1"/>
    </row>
    <row r="106" spans="4:4" ht="20.100000000000001" customHeight="1" x14ac:dyDescent="0.4">
      <c r="D106" s="1"/>
    </row>
    <row r="107" spans="4:4" ht="20.100000000000001" customHeight="1" x14ac:dyDescent="0.4">
      <c r="D107" s="1"/>
    </row>
    <row r="108" spans="4:4" ht="20.100000000000001" customHeight="1" x14ac:dyDescent="0.4">
      <c r="D108" s="1"/>
    </row>
    <row r="109" spans="4:4" ht="20.100000000000001" customHeight="1" x14ac:dyDescent="0.4">
      <c r="D109" s="1"/>
    </row>
    <row r="110" spans="4:4" ht="20.100000000000001" customHeight="1" x14ac:dyDescent="0.4">
      <c r="D110" s="1"/>
    </row>
    <row r="111" spans="4:4" ht="20.100000000000001" customHeight="1" x14ac:dyDescent="0.4">
      <c r="D111" s="1"/>
    </row>
    <row r="112" spans="4:4" ht="20.100000000000001" customHeight="1" x14ac:dyDescent="0.4">
      <c r="D112" s="1"/>
    </row>
    <row r="113" spans="4:4" ht="20.100000000000001" customHeight="1" x14ac:dyDescent="0.4">
      <c r="D113" s="1"/>
    </row>
    <row r="114" spans="4:4" ht="20.100000000000001" customHeight="1" x14ac:dyDescent="0.4">
      <c r="D114" s="1"/>
    </row>
    <row r="115" spans="4:4" ht="20.100000000000001" customHeight="1" x14ac:dyDescent="0.4">
      <c r="D115" s="1"/>
    </row>
    <row r="116" spans="4:4" ht="20.100000000000001" customHeight="1" x14ac:dyDescent="0.4">
      <c r="D116" s="1"/>
    </row>
    <row r="117" spans="4:4" ht="20.100000000000001" customHeight="1" x14ac:dyDescent="0.4">
      <c r="D117" s="1"/>
    </row>
    <row r="118" spans="4:4" ht="20.100000000000001" customHeight="1" x14ac:dyDescent="0.4">
      <c r="D118" s="1"/>
    </row>
    <row r="119" spans="4:4" ht="20.100000000000001" customHeight="1" x14ac:dyDescent="0.4">
      <c r="D119" s="1"/>
    </row>
    <row r="120" spans="4:4" ht="20.100000000000001" customHeight="1" x14ac:dyDescent="0.4">
      <c r="D120" s="1"/>
    </row>
    <row r="121" spans="4:4" ht="20.100000000000001" customHeight="1" x14ac:dyDescent="0.4">
      <c r="D121" s="1"/>
    </row>
    <row r="122" spans="4:4" ht="20.100000000000001" customHeight="1" x14ac:dyDescent="0.4">
      <c r="D122" s="1"/>
    </row>
    <row r="123" spans="4:4" ht="20.100000000000001" customHeight="1" x14ac:dyDescent="0.4">
      <c r="D123" s="1"/>
    </row>
    <row r="124" spans="4:4" ht="20.100000000000001" customHeight="1" x14ac:dyDescent="0.4">
      <c r="D124" s="1"/>
    </row>
    <row r="125" spans="4:4" ht="20.100000000000001" customHeight="1" x14ac:dyDescent="0.4">
      <c r="D125" s="1"/>
    </row>
    <row r="126" spans="4:4" ht="20.100000000000001" customHeight="1" x14ac:dyDescent="0.4">
      <c r="D126" s="1"/>
    </row>
    <row r="127" spans="4:4" ht="20.100000000000001" customHeight="1" x14ac:dyDescent="0.4">
      <c r="D127" s="1"/>
    </row>
  </sheetData>
  <phoneticPr fontId="2"/>
  <pageMargins left="0.7" right="0.7" top="0.75" bottom="0.75" header="0.3" footer="0.3"/>
  <pageSetup paperSize="9" scale="6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B6EB6-C3C0-4281-81F1-C377B9C768FD}">
  <sheetPr>
    <pageSetUpPr fitToPage="1"/>
  </sheetPr>
  <dimension ref="A1:I113"/>
  <sheetViews>
    <sheetView workbookViewId="0"/>
  </sheetViews>
  <sheetFormatPr defaultColWidth="9" defaultRowHeight="18.75" x14ac:dyDescent="0.4"/>
  <cols>
    <col min="1" max="1" width="9.75" style="2" customWidth="1"/>
    <col min="2" max="2" width="11.5" style="35" customWidth="1"/>
    <col min="3" max="3" width="27.75" style="36" customWidth="1"/>
    <col min="4" max="4" width="9" style="2"/>
    <col min="5" max="5" width="12.125" style="2" customWidth="1"/>
    <col min="6" max="6" width="18.375" style="37" customWidth="1"/>
    <col min="7" max="7" width="9" style="2"/>
    <col min="8" max="9" width="9" style="2" customWidth="1"/>
    <col min="10" max="16384" width="9" style="2"/>
  </cols>
  <sheetData>
    <row r="1" spans="1:9" s="1" customFormat="1" ht="20.100000000000001" customHeight="1" x14ac:dyDescent="0.4">
      <c r="A1" s="28" t="s">
        <v>276</v>
      </c>
      <c r="B1" s="27" t="s">
        <v>0</v>
      </c>
      <c r="C1" s="28" t="s">
        <v>639</v>
      </c>
      <c r="D1" s="28" t="s">
        <v>1</v>
      </c>
      <c r="E1" s="28" t="s">
        <v>291</v>
      </c>
      <c r="F1" s="29" t="s">
        <v>2</v>
      </c>
      <c r="G1" s="28" t="s">
        <v>3</v>
      </c>
      <c r="H1" s="28" t="s">
        <v>292</v>
      </c>
      <c r="I1" s="28" t="s">
        <v>293</v>
      </c>
    </row>
    <row r="2" spans="1:9" ht="20.100000000000001" customHeight="1" x14ac:dyDescent="0.4">
      <c r="A2" s="45"/>
      <c r="B2" s="41" t="s">
        <v>640</v>
      </c>
      <c r="C2" s="43" t="s">
        <v>641</v>
      </c>
      <c r="D2" s="44" t="s">
        <v>4</v>
      </c>
      <c r="E2" s="45" t="s">
        <v>31</v>
      </c>
      <c r="F2" s="46" t="s">
        <v>642</v>
      </c>
      <c r="G2" s="45"/>
      <c r="H2" s="45" t="s">
        <v>7</v>
      </c>
      <c r="I2" s="45" t="s">
        <v>8</v>
      </c>
    </row>
    <row r="3" spans="1:9" ht="20.100000000000001" customHeight="1" x14ac:dyDescent="0.4">
      <c r="A3" s="45"/>
      <c r="B3" s="41" t="s">
        <v>643</v>
      </c>
      <c r="C3" s="43" t="s">
        <v>644</v>
      </c>
      <c r="D3" s="44" t="s">
        <v>4</v>
      </c>
      <c r="E3" s="45" t="s">
        <v>31</v>
      </c>
      <c r="F3" s="46" t="s">
        <v>645</v>
      </c>
      <c r="G3" s="45"/>
      <c r="H3" s="45" t="s">
        <v>7</v>
      </c>
      <c r="I3" s="45" t="s">
        <v>8</v>
      </c>
    </row>
    <row r="4" spans="1:9" ht="19.5" x14ac:dyDescent="0.4">
      <c r="D4" s="1"/>
    </row>
    <row r="5" spans="1:9" ht="19.5" x14ac:dyDescent="0.4">
      <c r="D5" s="1"/>
    </row>
    <row r="6" spans="1:9" ht="19.5" x14ac:dyDescent="0.4">
      <c r="D6" s="1"/>
    </row>
    <row r="7" spans="1:9" ht="19.5" x14ac:dyDescent="0.4">
      <c r="D7" s="1"/>
    </row>
    <row r="8" spans="1:9" ht="19.5" x14ac:dyDescent="0.4">
      <c r="D8" s="1"/>
    </row>
    <row r="9" spans="1:9" ht="19.5" x14ac:dyDescent="0.4">
      <c r="D9" s="1"/>
    </row>
    <row r="10" spans="1:9" ht="19.5" x14ac:dyDescent="0.4">
      <c r="D10" s="1"/>
    </row>
    <row r="11" spans="1:9" ht="19.5" x14ac:dyDescent="0.4">
      <c r="D11" s="1"/>
    </row>
    <row r="12" spans="1:9" ht="19.5" x14ac:dyDescent="0.4">
      <c r="D12" s="1"/>
    </row>
    <row r="13" spans="1:9" ht="19.5" x14ac:dyDescent="0.4">
      <c r="D13" s="1"/>
    </row>
    <row r="14" spans="1:9" ht="19.5" x14ac:dyDescent="0.4">
      <c r="D14" s="1"/>
    </row>
    <row r="15" spans="1:9" ht="19.5" x14ac:dyDescent="0.4">
      <c r="D15" s="1"/>
    </row>
    <row r="16" spans="1:9" ht="19.5" x14ac:dyDescent="0.4">
      <c r="D16" s="1"/>
    </row>
    <row r="17" spans="4:4" ht="19.5" x14ac:dyDescent="0.4">
      <c r="D17" s="1"/>
    </row>
    <row r="18" spans="4:4" ht="19.5" x14ac:dyDescent="0.4">
      <c r="D18" s="1"/>
    </row>
    <row r="19" spans="4:4" ht="19.5" x14ac:dyDescent="0.4">
      <c r="D19" s="1"/>
    </row>
    <row r="20" spans="4:4" ht="19.5" x14ac:dyDescent="0.4">
      <c r="D20" s="1"/>
    </row>
    <row r="21" spans="4:4" ht="19.5" x14ac:dyDescent="0.4">
      <c r="D21" s="1"/>
    </row>
    <row r="22" spans="4:4" ht="19.5" x14ac:dyDescent="0.4">
      <c r="D22" s="1"/>
    </row>
    <row r="23" spans="4:4" ht="19.5" x14ac:dyDescent="0.4">
      <c r="D23" s="1"/>
    </row>
    <row r="24" spans="4:4" ht="19.5" x14ac:dyDescent="0.4">
      <c r="D24" s="1"/>
    </row>
    <row r="25" spans="4:4" ht="19.5" x14ac:dyDescent="0.4">
      <c r="D25" s="1"/>
    </row>
    <row r="26" spans="4:4" ht="19.5" x14ac:dyDescent="0.4">
      <c r="D26" s="1"/>
    </row>
    <row r="27" spans="4:4" ht="19.5" x14ac:dyDescent="0.4">
      <c r="D27" s="1"/>
    </row>
    <row r="28" spans="4:4" ht="19.5" x14ac:dyDescent="0.4">
      <c r="D28" s="1"/>
    </row>
    <row r="29" spans="4:4" ht="19.5" x14ac:dyDescent="0.4">
      <c r="D29" s="1"/>
    </row>
    <row r="30" spans="4:4" ht="19.5" x14ac:dyDescent="0.4">
      <c r="D30" s="1"/>
    </row>
    <row r="31" spans="4:4" ht="19.5" x14ac:dyDescent="0.4">
      <c r="D31" s="1"/>
    </row>
    <row r="32" spans="4:4" ht="19.5" x14ac:dyDescent="0.4">
      <c r="D32" s="1"/>
    </row>
    <row r="33" spans="4:4" ht="19.5" x14ac:dyDescent="0.4">
      <c r="D33" s="1"/>
    </row>
    <row r="34" spans="4:4" ht="19.5" x14ac:dyDescent="0.4">
      <c r="D34" s="1"/>
    </row>
    <row r="35" spans="4:4" ht="19.5" x14ac:dyDescent="0.4">
      <c r="D35" s="1"/>
    </row>
    <row r="36" spans="4:4" ht="19.5" x14ac:dyDescent="0.4">
      <c r="D36" s="1"/>
    </row>
    <row r="37" spans="4:4" ht="19.5" x14ac:dyDescent="0.4">
      <c r="D37" s="1"/>
    </row>
    <row r="38" spans="4:4" ht="19.5" x14ac:dyDescent="0.4">
      <c r="D38" s="1"/>
    </row>
    <row r="39" spans="4:4" ht="19.5" x14ac:dyDescent="0.4">
      <c r="D39" s="1"/>
    </row>
    <row r="40" spans="4:4" ht="19.5" x14ac:dyDescent="0.4">
      <c r="D40" s="1"/>
    </row>
    <row r="41" spans="4:4" ht="19.5" x14ac:dyDescent="0.4">
      <c r="D41" s="1"/>
    </row>
    <row r="42" spans="4:4" ht="19.5" x14ac:dyDescent="0.4">
      <c r="D42" s="1"/>
    </row>
    <row r="43" spans="4:4" ht="19.5" x14ac:dyDescent="0.4">
      <c r="D43" s="1"/>
    </row>
    <row r="44" spans="4:4" ht="19.5" x14ac:dyDescent="0.4">
      <c r="D44" s="1"/>
    </row>
    <row r="45" spans="4:4" ht="19.5" x14ac:dyDescent="0.4">
      <c r="D45" s="1"/>
    </row>
    <row r="46" spans="4:4" ht="19.5" x14ac:dyDescent="0.4">
      <c r="D46" s="1"/>
    </row>
    <row r="47" spans="4:4" ht="19.5" x14ac:dyDescent="0.4">
      <c r="D47" s="1"/>
    </row>
    <row r="48" spans="4:4" ht="19.5" x14ac:dyDescent="0.4">
      <c r="D48" s="1"/>
    </row>
    <row r="49" spans="2:6" ht="19.5" x14ac:dyDescent="0.4">
      <c r="D49" s="1"/>
    </row>
    <row r="50" spans="2:6" ht="19.5" x14ac:dyDescent="0.4">
      <c r="D50" s="1"/>
    </row>
    <row r="51" spans="2:6" ht="19.5" x14ac:dyDescent="0.4">
      <c r="D51" s="1"/>
    </row>
    <row r="52" spans="2:6" ht="19.5" x14ac:dyDescent="0.4">
      <c r="D52" s="1"/>
    </row>
    <row r="53" spans="2:6" ht="19.5" x14ac:dyDescent="0.4">
      <c r="D53" s="1"/>
    </row>
    <row r="54" spans="2:6" ht="19.5" x14ac:dyDescent="0.4">
      <c r="D54" s="1"/>
    </row>
    <row r="55" spans="2:6" ht="19.5" x14ac:dyDescent="0.4">
      <c r="D55" s="1"/>
    </row>
    <row r="56" spans="2:6" ht="19.5" x14ac:dyDescent="0.4">
      <c r="D56" s="1"/>
    </row>
    <row r="57" spans="2:6" ht="19.5" x14ac:dyDescent="0.4">
      <c r="D57" s="1"/>
    </row>
    <row r="58" spans="2:6" ht="19.5" x14ac:dyDescent="0.4">
      <c r="D58" s="1"/>
    </row>
    <row r="59" spans="2:6" ht="19.5" x14ac:dyDescent="0.4">
      <c r="D59" s="1"/>
    </row>
    <row r="60" spans="2:6" ht="19.5" x14ac:dyDescent="0.4">
      <c r="D60" s="1"/>
    </row>
    <row r="61" spans="2:6" ht="19.5" x14ac:dyDescent="0.4">
      <c r="D61" s="1"/>
    </row>
    <row r="62" spans="2:6" s="38" customFormat="1" ht="19.5" x14ac:dyDescent="0.4">
      <c r="B62" s="35"/>
      <c r="C62" s="39"/>
      <c r="D62" s="40"/>
      <c r="F62" s="37"/>
    </row>
    <row r="63" spans="2:6" ht="19.5" x14ac:dyDescent="0.4">
      <c r="D63" s="1"/>
    </row>
    <row r="64" spans="2:6" ht="19.5" x14ac:dyDescent="0.4">
      <c r="D64" s="1"/>
    </row>
    <row r="65" spans="4:4" ht="19.5" x14ac:dyDescent="0.4">
      <c r="D65" s="1"/>
    </row>
    <row r="66" spans="4:4" ht="19.5" x14ac:dyDescent="0.4">
      <c r="D66" s="1"/>
    </row>
    <row r="67" spans="4:4" ht="19.5" x14ac:dyDescent="0.4">
      <c r="D67" s="1"/>
    </row>
    <row r="68" spans="4:4" ht="19.5" x14ac:dyDescent="0.4">
      <c r="D68" s="1"/>
    </row>
    <row r="69" spans="4:4" ht="19.5" x14ac:dyDescent="0.4">
      <c r="D69" s="1"/>
    </row>
    <row r="70" spans="4:4" ht="19.5" x14ac:dyDescent="0.4">
      <c r="D70" s="1"/>
    </row>
    <row r="71" spans="4:4" ht="19.5" x14ac:dyDescent="0.4">
      <c r="D71" s="1"/>
    </row>
    <row r="72" spans="4:4" ht="19.5" x14ac:dyDescent="0.4">
      <c r="D72" s="1"/>
    </row>
    <row r="73" spans="4:4" ht="19.5" x14ac:dyDescent="0.4">
      <c r="D73" s="1"/>
    </row>
    <row r="74" spans="4:4" ht="19.5" x14ac:dyDescent="0.4">
      <c r="D74" s="1"/>
    </row>
    <row r="75" spans="4:4" ht="19.5" x14ac:dyDescent="0.4">
      <c r="D75" s="1"/>
    </row>
    <row r="76" spans="4:4" ht="19.5" x14ac:dyDescent="0.4">
      <c r="D76" s="1"/>
    </row>
    <row r="77" spans="4:4" ht="19.5" x14ac:dyDescent="0.4">
      <c r="D77" s="1"/>
    </row>
    <row r="78" spans="4:4" ht="19.5" x14ac:dyDescent="0.4">
      <c r="D78" s="1"/>
    </row>
    <row r="79" spans="4:4" ht="19.5" x14ac:dyDescent="0.4">
      <c r="D79" s="1"/>
    </row>
    <row r="80" spans="4:4" ht="19.5" x14ac:dyDescent="0.4">
      <c r="D80" s="1"/>
    </row>
    <row r="81" spans="4:4" ht="19.5" x14ac:dyDescent="0.4">
      <c r="D81" s="1"/>
    </row>
    <row r="82" spans="4:4" ht="19.5" x14ac:dyDescent="0.4">
      <c r="D82" s="1"/>
    </row>
    <row r="83" spans="4:4" ht="19.5" x14ac:dyDescent="0.4">
      <c r="D83" s="1"/>
    </row>
    <row r="84" spans="4:4" ht="19.5" x14ac:dyDescent="0.4">
      <c r="D84" s="1"/>
    </row>
    <row r="85" spans="4:4" ht="19.5" x14ac:dyDescent="0.4">
      <c r="D85" s="1"/>
    </row>
    <row r="86" spans="4:4" ht="19.5" x14ac:dyDescent="0.4">
      <c r="D86" s="1"/>
    </row>
    <row r="87" spans="4:4" ht="19.5" x14ac:dyDescent="0.4">
      <c r="D87" s="1"/>
    </row>
    <row r="88" spans="4:4" ht="19.5" x14ac:dyDescent="0.4">
      <c r="D88" s="1"/>
    </row>
    <row r="89" spans="4:4" ht="19.5" x14ac:dyDescent="0.4">
      <c r="D89" s="1"/>
    </row>
    <row r="90" spans="4:4" ht="19.5" x14ac:dyDescent="0.4">
      <c r="D90" s="1"/>
    </row>
    <row r="91" spans="4:4" ht="19.5" x14ac:dyDescent="0.4">
      <c r="D91" s="1"/>
    </row>
    <row r="92" spans="4:4" ht="19.5" x14ac:dyDescent="0.4">
      <c r="D92" s="1"/>
    </row>
    <row r="93" spans="4:4" ht="19.5" x14ac:dyDescent="0.4">
      <c r="D93" s="1"/>
    </row>
    <row r="94" spans="4:4" ht="19.5" x14ac:dyDescent="0.4">
      <c r="D94" s="1"/>
    </row>
    <row r="95" spans="4:4" ht="19.5" x14ac:dyDescent="0.4">
      <c r="D95" s="1"/>
    </row>
    <row r="96" spans="4:4" ht="19.5" x14ac:dyDescent="0.4">
      <c r="D96" s="1"/>
    </row>
    <row r="97" spans="4:4" ht="19.5" x14ac:dyDescent="0.4">
      <c r="D97" s="1"/>
    </row>
    <row r="98" spans="4:4" ht="19.5" x14ac:dyDescent="0.4">
      <c r="D98" s="1"/>
    </row>
    <row r="99" spans="4:4" ht="19.5" x14ac:dyDescent="0.4">
      <c r="D99" s="1"/>
    </row>
    <row r="100" spans="4:4" ht="19.5" x14ac:dyDescent="0.4">
      <c r="D100" s="1"/>
    </row>
    <row r="101" spans="4:4" ht="19.5" x14ac:dyDescent="0.4">
      <c r="D101" s="1"/>
    </row>
    <row r="102" spans="4:4" ht="19.5" x14ac:dyDescent="0.4">
      <c r="D102" s="1"/>
    </row>
    <row r="103" spans="4:4" ht="19.5" x14ac:dyDescent="0.4">
      <c r="D103" s="1"/>
    </row>
    <row r="104" spans="4:4" ht="19.5" x14ac:dyDescent="0.4">
      <c r="D104" s="1"/>
    </row>
    <row r="105" spans="4:4" ht="19.5" x14ac:dyDescent="0.4">
      <c r="D105" s="1"/>
    </row>
    <row r="106" spans="4:4" ht="19.5" x14ac:dyDescent="0.4">
      <c r="D106" s="1"/>
    </row>
    <row r="107" spans="4:4" ht="19.5" x14ac:dyDescent="0.4">
      <c r="D107" s="1"/>
    </row>
    <row r="108" spans="4:4" ht="19.5" x14ac:dyDescent="0.4">
      <c r="D108" s="1"/>
    </row>
    <row r="109" spans="4:4" ht="19.5" x14ac:dyDescent="0.4">
      <c r="D109" s="1"/>
    </row>
    <row r="110" spans="4:4" ht="19.5" x14ac:dyDescent="0.4">
      <c r="D110" s="1"/>
    </row>
    <row r="111" spans="4:4" ht="19.5" x14ac:dyDescent="0.4">
      <c r="D111" s="1"/>
    </row>
    <row r="112" spans="4:4" ht="19.5" x14ac:dyDescent="0.4">
      <c r="D112" s="1"/>
    </row>
    <row r="113" spans="4:4" ht="19.5" x14ac:dyDescent="0.4">
      <c r="D113" s="1"/>
    </row>
  </sheetData>
  <phoneticPr fontId="2"/>
  <pageMargins left="0.7" right="0.7" top="0.75" bottom="0.75" header="0.3" footer="0.3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2C403-04D3-4EC4-8EB7-AC715D7C1E82}">
  <sheetPr>
    <pageSetUpPr fitToPage="1"/>
  </sheetPr>
  <dimension ref="A1:I62"/>
  <sheetViews>
    <sheetView zoomScaleNormal="100" workbookViewId="0">
      <selection activeCell="F56" sqref="F56"/>
    </sheetView>
  </sheetViews>
  <sheetFormatPr defaultRowHeight="20.100000000000001" customHeight="1" x14ac:dyDescent="0.4"/>
  <cols>
    <col min="1" max="1" width="9.75" style="53" customWidth="1"/>
    <col min="2" max="2" width="11.5" style="35" customWidth="1"/>
    <col min="3" max="3" width="27.75" style="36" customWidth="1"/>
    <col min="4" max="4" width="9" style="2"/>
    <col min="5" max="5" width="12.125" style="2" customWidth="1"/>
    <col min="6" max="6" width="18.375" style="37" customWidth="1"/>
    <col min="7" max="7" width="9" style="2"/>
    <col min="8" max="9" width="9" style="2" customWidth="1"/>
    <col min="10" max="16384" width="9" style="2"/>
  </cols>
  <sheetData>
    <row r="1" spans="1:9" s="1" customFormat="1" ht="20.100000000000001" customHeight="1" x14ac:dyDescent="0.4">
      <c r="A1" s="27" t="s">
        <v>593</v>
      </c>
      <c r="B1" s="27" t="s">
        <v>0</v>
      </c>
      <c r="C1" s="28" t="s">
        <v>639</v>
      </c>
      <c r="D1" s="28" t="s">
        <v>1</v>
      </c>
      <c r="E1" s="28" t="s">
        <v>291</v>
      </c>
      <c r="F1" s="29" t="s">
        <v>2</v>
      </c>
      <c r="G1" s="28" t="s">
        <v>3</v>
      </c>
      <c r="H1" s="28" t="s">
        <v>292</v>
      </c>
      <c r="I1" s="28" t="s">
        <v>293</v>
      </c>
    </row>
    <row r="2" spans="1:9" ht="20.100000000000001" customHeight="1" x14ac:dyDescent="0.4">
      <c r="A2" s="55"/>
      <c r="B2" s="41" t="s">
        <v>646</v>
      </c>
      <c r="C2" s="43" t="s">
        <v>647</v>
      </c>
      <c r="D2" s="45" t="s">
        <v>4</v>
      </c>
      <c r="E2" s="45" t="s">
        <v>5</v>
      </c>
      <c r="F2" s="46" t="s">
        <v>648</v>
      </c>
      <c r="G2" s="45"/>
      <c r="H2" s="45" t="s">
        <v>7</v>
      </c>
      <c r="I2" s="45" t="s">
        <v>295</v>
      </c>
    </row>
    <row r="3" spans="1:9" ht="20.100000000000001" customHeight="1" x14ac:dyDescent="0.4">
      <c r="A3" s="55" t="str">
        <f>HYPERLINK("https://hp.brs.nihon-u.ac.jp/~museum/doc/archive/a-e/a-e_00461_R.png","画像")</f>
        <v>画像</v>
      </c>
      <c r="B3" s="41" t="s">
        <v>649</v>
      </c>
      <c r="C3" s="43" t="s">
        <v>650</v>
      </c>
      <c r="D3" s="45" t="s">
        <v>4</v>
      </c>
      <c r="E3" s="45" t="s">
        <v>5</v>
      </c>
      <c r="F3" s="46" t="s">
        <v>651</v>
      </c>
      <c r="G3" s="45"/>
      <c r="H3" s="45" t="s">
        <v>7</v>
      </c>
      <c r="I3" s="45" t="s">
        <v>295</v>
      </c>
    </row>
    <row r="4" spans="1:9" ht="20.100000000000001" customHeight="1" x14ac:dyDescent="0.4">
      <c r="A4" s="55" t="str">
        <f>HYPERLINK("https://hp.brs.nihon-u.ac.jp/~museum/doc/archive/a-e/a-e_00462_R.png","画像")</f>
        <v>画像</v>
      </c>
      <c r="B4" s="41" t="s">
        <v>652</v>
      </c>
      <c r="C4" s="43" t="s">
        <v>653</v>
      </c>
      <c r="D4" s="45" t="s">
        <v>4</v>
      </c>
      <c r="E4" s="45" t="s">
        <v>5</v>
      </c>
      <c r="F4" s="46" t="s">
        <v>654</v>
      </c>
      <c r="G4" s="45"/>
      <c r="H4" s="45" t="s">
        <v>7</v>
      </c>
      <c r="I4" s="45" t="s">
        <v>295</v>
      </c>
    </row>
    <row r="5" spans="1:9" ht="20.100000000000001" customHeight="1" x14ac:dyDescent="0.4">
      <c r="A5" s="55"/>
      <c r="B5" s="41" t="s">
        <v>655</v>
      </c>
      <c r="C5" s="43" t="s">
        <v>656</v>
      </c>
      <c r="D5" s="45" t="s">
        <v>4</v>
      </c>
      <c r="E5" s="45" t="s">
        <v>5</v>
      </c>
      <c r="F5" s="46" t="s">
        <v>657</v>
      </c>
      <c r="G5" s="45"/>
      <c r="H5" s="45" t="s">
        <v>7</v>
      </c>
      <c r="I5" s="45" t="s">
        <v>295</v>
      </c>
    </row>
    <row r="6" spans="1:9" ht="20.100000000000001" customHeight="1" x14ac:dyDescent="0.4">
      <c r="A6" s="55"/>
      <c r="B6" s="41" t="s">
        <v>658</v>
      </c>
      <c r="C6" s="43" t="s">
        <v>659</v>
      </c>
      <c r="D6" s="45" t="s">
        <v>4</v>
      </c>
      <c r="E6" s="45" t="s">
        <v>5</v>
      </c>
      <c r="F6" s="46" t="s">
        <v>660</v>
      </c>
      <c r="G6" s="45"/>
      <c r="H6" s="45" t="s">
        <v>7</v>
      </c>
      <c r="I6" s="45" t="s">
        <v>295</v>
      </c>
    </row>
    <row r="7" spans="1:9" ht="20.100000000000001" customHeight="1" x14ac:dyDescent="0.4">
      <c r="A7" s="55"/>
      <c r="B7" s="41" t="s">
        <v>661</v>
      </c>
      <c r="C7" s="45" t="s">
        <v>662</v>
      </c>
      <c r="D7" s="45" t="s">
        <v>4</v>
      </c>
      <c r="E7" s="45" t="s">
        <v>5</v>
      </c>
      <c r="F7" s="46" t="s">
        <v>663</v>
      </c>
      <c r="G7" s="45"/>
      <c r="H7" s="45" t="s">
        <v>7</v>
      </c>
      <c r="I7" s="45" t="s">
        <v>295</v>
      </c>
    </row>
    <row r="8" spans="1:9" ht="20.100000000000001" customHeight="1" x14ac:dyDescent="0.4">
      <c r="A8" s="55"/>
      <c r="B8" s="41" t="s">
        <v>664</v>
      </c>
      <c r="C8" s="43" t="s">
        <v>665</v>
      </c>
      <c r="D8" s="45" t="s">
        <v>4</v>
      </c>
      <c r="E8" s="45" t="s">
        <v>5</v>
      </c>
      <c r="F8" s="46" t="s">
        <v>666</v>
      </c>
      <c r="G8" s="45"/>
      <c r="H8" s="45" t="s">
        <v>7</v>
      </c>
      <c r="I8" s="45" t="s">
        <v>295</v>
      </c>
    </row>
    <row r="9" spans="1:9" ht="20.100000000000001" customHeight="1" x14ac:dyDescent="0.4">
      <c r="A9" s="55" t="str">
        <f>HYPERLINK("https://hp.brs.nihon-u.ac.jp/~museum/doc/archive/a-e/a-e_00467_R.png","画像")</f>
        <v>画像</v>
      </c>
      <c r="B9" s="41" t="s">
        <v>667</v>
      </c>
      <c r="C9" s="43" t="s">
        <v>668</v>
      </c>
      <c r="D9" s="45" t="s">
        <v>4</v>
      </c>
      <c r="E9" s="45" t="s">
        <v>5</v>
      </c>
      <c r="F9" s="46" t="s">
        <v>669</v>
      </c>
      <c r="G9" s="45"/>
      <c r="H9" s="45" t="s">
        <v>7</v>
      </c>
      <c r="I9" s="45" t="s">
        <v>295</v>
      </c>
    </row>
    <row r="10" spans="1:9" ht="20.100000000000001" customHeight="1" x14ac:dyDescent="0.4">
      <c r="A10" s="55"/>
      <c r="B10" s="41" t="s">
        <v>670</v>
      </c>
      <c r="C10" s="43" t="s">
        <v>653</v>
      </c>
      <c r="D10" s="45" t="s">
        <v>4</v>
      </c>
      <c r="E10" s="45" t="s">
        <v>5</v>
      </c>
      <c r="F10" s="46" t="s">
        <v>654</v>
      </c>
      <c r="G10" s="45"/>
      <c r="H10" s="45" t="s">
        <v>7</v>
      </c>
      <c r="I10" s="45" t="s">
        <v>295</v>
      </c>
    </row>
    <row r="11" spans="1:9" ht="20.100000000000001" customHeight="1" x14ac:dyDescent="0.4">
      <c r="A11" s="55"/>
      <c r="B11" s="41" t="s">
        <v>671</v>
      </c>
      <c r="C11" s="56" t="s">
        <v>672</v>
      </c>
      <c r="D11" s="45" t="s">
        <v>4</v>
      </c>
      <c r="E11" s="45" t="s">
        <v>5</v>
      </c>
      <c r="F11" s="54" t="s">
        <v>673</v>
      </c>
      <c r="G11" s="45"/>
      <c r="H11" s="45" t="s">
        <v>7</v>
      </c>
      <c r="I11" s="45" t="s">
        <v>295</v>
      </c>
    </row>
    <row r="12" spans="1:9" ht="20.100000000000001" customHeight="1" x14ac:dyDescent="0.4">
      <c r="A12" s="55"/>
      <c r="B12" s="41" t="s">
        <v>674</v>
      </c>
      <c r="C12" s="43" t="s">
        <v>675</v>
      </c>
      <c r="D12" s="45" t="s">
        <v>4</v>
      </c>
      <c r="E12" s="45" t="s">
        <v>5</v>
      </c>
      <c r="F12" s="46" t="s">
        <v>846</v>
      </c>
      <c r="G12" s="45"/>
      <c r="H12" s="45" t="s">
        <v>7</v>
      </c>
      <c r="I12" s="45" t="s">
        <v>295</v>
      </c>
    </row>
    <row r="13" spans="1:9" ht="20.100000000000001" customHeight="1" x14ac:dyDescent="0.4">
      <c r="A13" s="55"/>
      <c r="B13" s="41" t="s">
        <v>676</v>
      </c>
      <c r="C13" s="43" t="s">
        <v>677</v>
      </c>
      <c r="D13" s="45" t="s">
        <v>4</v>
      </c>
      <c r="E13" s="45" t="s">
        <v>5</v>
      </c>
      <c r="F13" s="46" t="s">
        <v>845</v>
      </c>
      <c r="G13" s="45"/>
      <c r="H13" s="45" t="s">
        <v>7</v>
      </c>
      <c r="I13" s="45" t="s">
        <v>295</v>
      </c>
    </row>
    <row r="14" spans="1:9" ht="20.100000000000001" customHeight="1" x14ac:dyDescent="0.4">
      <c r="A14" s="55"/>
      <c r="B14" s="41" t="s">
        <v>678</v>
      </c>
      <c r="C14" s="43" t="s">
        <v>679</v>
      </c>
      <c r="D14" s="45" t="s">
        <v>4</v>
      </c>
      <c r="E14" s="45" t="s">
        <v>5</v>
      </c>
      <c r="F14" s="46" t="s">
        <v>680</v>
      </c>
      <c r="G14" s="45"/>
      <c r="H14" s="45" t="s">
        <v>7</v>
      </c>
      <c r="I14" s="45" t="s">
        <v>295</v>
      </c>
    </row>
    <row r="15" spans="1:9" ht="20.100000000000001" customHeight="1" x14ac:dyDescent="0.4">
      <c r="A15" s="55" t="str">
        <f>HYPERLINK("https://hp.brs.nihon-u.ac.jp/~museum/doc/archive/a-e/a-e_00473_R.png","画像")</f>
        <v>画像</v>
      </c>
      <c r="B15" s="41" t="s">
        <v>681</v>
      </c>
      <c r="C15" s="43" t="s">
        <v>682</v>
      </c>
      <c r="D15" s="45" t="s">
        <v>4</v>
      </c>
      <c r="E15" s="45" t="s">
        <v>5</v>
      </c>
      <c r="F15" s="46" t="s">
        <v>683</v>
      </c>
      <c r="G15" s="45"/>
      <c r="H15" s="45" t="s">
        <v>7</v>
      </c>
      <c r="I15" s="45" t="s">
        <v>295</v>
      </c>
    </row>
    <row r="16" spans="1:9" ht="20.100000000000001" customHeight="1" x14ac:dyDescent="0.4">
      <c r="A16" s="55"/>
      <c r="B16" s="41" t="s">
        <v>684</v>
      </c>
      <c r="C16" s="43" t="s">
        <v>685</v>
      </c>
      <c r="D16" s="45" t="s">
        <v>4</v>
      </c>
      <c r="E16" s="45" t="s">
        <v>5</v>
      </c>
      <c r="F16" s="46" t="s">
        <v>686</v>
      </c>
      <c r="G16" s="45"/>
      <c r="H16" s="45" t="s">
        <v>7</v>
      </c>
      <c r="I16" s="45" t="s">
        <v>295</v>
      </c>
    </row>
    <row r="17" spans="1:9" ht="20.100000000000001" customHeight="1" x14ac:dyDescent="0.4">
      <c r="A17" s="55"/>
      <c r="B17" s="41" t="s">
        <v>687</v>
      </c>
      <c r="C17" s="43" t="s">
        <v>688</v>
      </c>
      <c r="D17" s="45" t="s">
        <v>4</v>
      </c>
      <c r="E17" s="45" t="s">
        <v>5</v>
      </c>
      <c r="F17" s="46" t="s">
        <v>689</v>
      </c>
      <c r="G17" s="45"/>
      <c r="H17" s="45" t="s">
        <v>7</v>
      </c>
      <c r="I17" s="45" t="s">
        <v>295</v>
      </c>
    </row>
    <row r="18" spans="1:9" ht="20.100000000000001" customHeight="1" x14ac:dyDescent="0.4">
      <c r="A18" s="55"/>
      <c r="B18" s="41" t="s">
        <v>690</v>
      </c>
      <c r="C18" s="43" t="s">
        <v>672</v>
      </c>
      <c r="D18" s="45" t="s">
        <v>4</v>
      </c>
      <c r="E18" s="45" t="s">
        <v>5</v>
      </c>
      <c r="F18" s="54" t="s">
        <v>691</v>
      </c>
      <c r="G18" s="45"/>
      <c r="H18" s="45" t="s">
        <v>7</v>
      </c>
      <c r="I18" s="45" t="s">
        <v>295</v>
      </c>
    </row>
    <row r="19" spans="1:9" ht="20.100000000000001" customHeight="1" x14ac:dyDescent="0.4">
      <c r="A19" s="55"/>
      <c r="B19" s="41" t="s">
        <v>692</v>
      </c>
      <c r="C19" s="43" t="s">
        <v>693</v>
      </c>
      <c r="D19" s="45" t="s">
        <v>4</v>
      </c>
      <c r="E19" s="45" t="s">
        <v>5</v>
      </c>
      <c r="F19" s="46" t="s">
        <v>694</v>
      </c>
      <c r="G19" s="45"/>
      <c r="H19" s="45" t="s">
        <v>7</v>
      </c>
      <c r="I19" s="45" t="s">
        <v>295</v>
      </c>
    </row>
    <row r="20" spans="1:9" ht="20.100000000000001" customHeight="1" x14ac:dyDescent="0.4">
      <c r="A20" s="55" t="str">
        <f>HYPERLINK("https://hp.brs.nihon-u.ac.jp/~museum/doc/archive/a-e/a-e_00479_R.png","画像")</f>
        <v>画像</v>
      </c>
      <c r="B20" s="41" t="s">
        <v>695</v>
      </c>
      <c r="C20" s="43" t="s">
        <v>696</v>
      </c>
      <c r="D20" s="45" t="s">
        <v>4</v>
      </c>
      <c r="E20" s="45" t="s">
        <v>5</v>
      </c>
      <c r="F20" s="46" t="s">
        <v>697</v>
      </c>
      <c r="G20" s="45"/>
      <c r="H20" s="45" t="s">
        <v>7</v>
      </c>
      <c r="I20" s="45" t="s">
        <v>295</v>
      </c>
    </row>
    <row r="21" spans="1:9" ht="20.100000000000001" customHeight="1" x14ac:dyDescent="0.4">
      <c r="A21" s="55"/>
      <c r="B21" s="41" t="s">
        <v>698</v>
      </c>
      <c r="C21" s="43" t="s">
        <v>696</v>
      </c>
      <c r="D21" s="45" t="s">
        <v>4</v>
      </c>
      <c r="E21" s="45" t="s">
        <v>5</v>
      </c>
      <c r="F21" s="46" t="s">
        <v>697</v>
      </c>
      <c r="G21" s="45"/>
      <c r="H21" s="45" t="s">
        <v>7</v>
      </c>
      <c r="I21" s="45" t="s">
        <v>295</v>
      </c>
    </row>
    <row r="22" spans="1:9" ht="20.100000000000001" customHeight="1" x14ac:dyDescent="0.4">
      <c r="A22" s="55"/>
      <c r="B22" s="41" t="s">
        <v>699</v>
      </c>
      <c r="C22" s="43" t="s">
        <v>700</v>
      </c>
      <c r="D22" s="45" t="s">
        <v>4</v>
      </c>
      <c r="E22" s="45" t="s">
        <v>5</v>
      </c>
      <c r="F22" s="46" t="s">
        <v>701</v>
      </c>
      <c r="G22" s="45"/>
      <c r="H22" s="45" t="s">
        <v>7</v>
      </c>
      <c r="I22" s="45" t="s">
        <v>295</v>
      </c>
    </row>
    <row r="23" spans="1:9" ht="20.100000000000001" customHeight="1" x14ac:dyDescent="0.4">
      <c r="A23" s="55" t="str">
        <f>HYPERLINK("https://hp.brs.nihon-u.ac.jp/~museum/doc/archive/a-e/a-e_00482_R.png","画像")</f>
        <v>画像</v>
      </c>
      <c r="B23" s="41" t="s">
        <v>702</v>
      </c>
      <c r="C23" s="43" t="s">
        <v>703</v>
      </c>
      <c r="D23" s="45" t="s">
        <v>4</v>
      </c>
      <c r="E23" s="45" t="s">
        <v>5</v>
      </c>
      <c r="F23" s="46" t="s">
        <v>704</v>
      </c>
      <c r="G23" s="45"/>
      <c r="H23" s="45" t="s">
        <v>7</v>
      </c>
      <c r="I23" s="45" t="s">
        <v>295</v>
      </c>
    </row>
    <row r="24" spans="1:9" ht="20.100000000000001" customHeight="1" x14ac:dyDescent="0.4">
      <c r="A24" s="55"/>
      <c r="B24" s="41" t="s">
        <v>705</v>
      </c>
      <c r="C24" s="43" t="s">
        <v>703</v>
      </c>
      <c r="D24" s="45" t="s">
        <v>4</v>
      </c>
      <c r="E24" s="45" t="s">
        <v>5</v>
      </c>
      <c r="F24" s="46" t="s">
        <v>704</v>
      </c>
      <c r="G24" s="45"/>
      <c r="H24" s="45" t="s">
        <v>7</v>
      </c>
      <c r="I24" s="45" t="s">
        <v>295</v>
      </c>
    </row>
    <row r="25" spans="1:9" ht="20.100000000000001" customHeight="1" x14ac:dyDescent="0.4">
      <c r="A25" s="55"/>
      <c r="B25" s="41" t="s">
        <v>706</v>
      </c>
      <c r="C25" s="43" t="s">
        <v>707</v>
      </c>
      <c r="D25" s="45" t="s">
        <v>4</v>
      </c>
      <c r="E25" s="45" t="s">
        <v>5</v>
      </c>
      <c r="F25" s="46" t="s">
        <v>708</v>
      </c>
      <c r="G25" s="45"/>
      <c r="H25" s="45" t="s">
        <v>7</v>
      </c>
      <c r="I25" s="45" t="s">
        <v>295</v>
      </c>
    </row>
    <row r="26" spans="1:9" ht="20.100000000000001" customHeight="1" x14ac:dyDescent="0.4">
      <c r="A26" s="55"/>
      <c r="B26" s="41" t="s">
        <v>709</v>
      </c>
      <c r="C26" s="43" t="s">
        <v>710</v>
      </c>
      <c r="D26" s="45" t="s">
        <v>4</v>
      </c>
      <c r="E26" s="45" t="s">
        <v>5</v>
      </c>
      <c r="F26" s="46" t="s">
        <v>711</v>
      </c>
      <c r="G26" s="45"/>
      <c r="H26" s="45" t="s">
        <v>7</v>
      </c>
      <c r="I26" s="45" t="s">
        <v>295</v>
      </c>
    </row>
    <row r="27" spans="1:9" ht="20.100000000000001" customHeight="1" x14ac:dyDescent="0.4">
      <c r="A27" s="55" t="str">
        <f>HYPERLINK("https://hp.brs.nihon-u.ac.jp/~museum/doc/archive/a-e/a-e_00486_R.png","画像")</f>
        <v>画像</v>
      </c>
      <c r="B27" s="41" t="s">
        <v>712</v>
      </c>
      <c r="C27" s="43" t="s">
        <v>713</v>
      </c>
      <c r="D27" s="45" t="s">
        <v>4</v>
      </c>
      <c r="E27" s="45" t="s">
        <v>5</v>
      </c>
      <c r="F27" s="46" t="s">
        <v>714</v>
      </c>
      <c r="G27" s="45"/>
      <c r="H27" s="45" t="s">
        <v>7</v>
      </c>
      <c r="I27" s="45" t="s">
        <v>295</v>
      </c>
    </row>
    <row r="28" spans="1:9" ht="20.100000000000001" customHeight="1" x14ac:dyDescent="0.4">
      <c r="A28" s="55"/>
      <c r="B28" s="41" t="s">
        <v>715</v>
      </c>
      <c r="C28" s="43" t="s">
        <v>716</v>
      </c>
      <c r="D28" s="45" t="s">
        <v>4</v>
      </c>
      <c r="E28" s="45" t="s">
        <v>5</v>
      </c>
      <c r="F28" s="46" t="s">
        <v>717</v>
      </c>
      <c r="G28" s="45"/>
      <c r="H28" s="45" t="s">
        <v>7</v>
      </c>
      <c r="I28" s="45" t="s">
        <v>295</v>
      </c>
    </row>
    <row r="29" spans="1:9" ht="20.100000000000001" customHeight="1" x14ac:dyDescent="0.4">
      <c r="A29" s="55" t="str">
        <f>HYPERLINK("https://hp.brs.nihon-u.ac.jp/~museum/doc/archive/a-e/a-e_00488_R.png","画像")</f>
        <v>画像</v>
      </c>
      <c r="B29" s="41" t="s">
        <v>718</v>
      </c>
      <c r="C29" s="43" t="s">
        <v>719</v>
      </c>
      <c r="D29" s="45" t="s">
        <v>4</v>
      </c>
      <c r="E29" s="45" t="s">
        <v>5</v>
      </c>
      <c r="F29" s="46" t="s">
        <v>720</v>
      </c>
      <c r="G29" s="45"/>
      <c r="H29" s="45" t="s">
        <v>7</v>
      </c>
      <c r="I29" s="45" t="s">
        <v>295</v>
      </c>
    </row>
    <row r="30" spans="1:9" ht="20.100000000000001" customHeight="1" x14ac:dyDescent="0.4">
      <c r="A30" s="55"/>
      <c r="B30" s="41" t="s">
        <v>721</v>
      </c>
      <c r="C30" s="43" t="s">
        <v>722</v>
      </c>
      <c r="D30" s="45" t="s">
        <v>4</v>
      </c>
      <c r="E30" s="45" t="s">
        <v>5</v>
      </c>
      <c r="F30" s="46" t="s">
        <v>723</v>
      </c>
      <c r="G30" s="45"/>
      <c r="H30" s="45" t="s">
        <v>7</v>
      </c>
      <c r="I30" s="45" t="s">
        <v>295</v>
      </c>
    </row>
    <row r="31" spans="1:9" ht="20.100000000000001" customHeight="1" x14ac:dyDescent="0.4">
      <c r="A31" s="55"/>
      <c r="B31" s="41" t="s">
        <v>724</v>
      </c>
      <c r="C31" s="43" t="s">
        <v>725</v>
      </c>
      <c r="D31" s="45" t="s">
        <v>4</v>
      </c>
      <c r="E31" s="45" t="s">
        <v>5</v>
      </c>
      <c r="F31" s="46" t="s">
        <v>726</v>
      </c>
      <c r="G31" s="45"/>
      <c r="H31" s="45" t="s">
        <v>7</v>
      </c>
      <c r="I31" s="45" t="s">
        <v>295</v>
      </c>
    </row>
    <row r="32" spans="1:9" ht="20.100000000000001" customHeight="1" x14ac:dyDescent="0.4">
      <c r="A32" s="55"/>
      <c r="B32" s="41" t="s">
        <v>727</v>
      </c>
      <c r="C32" s="43" t="s">
        <v>728</v>
      </c>
      <c r="D32" s="45" t="s">
        <v>4</v>
      </c>
      <c r="E32" s="45" t="s">
        <v>5</v>
      </c>
      <c r="F32" s="46" t="s">
        <v>729</v>
      </c>
      <c r="G32" s="45"/>
      <c r="H32" s="45" t="s">
        <v>7</v>
      </c>
      <c r="I32" s="45" t="s">
        <v>295</v>
      </c>
    </row>
    <row r="33" spans="1:9" ht="20.100000000000001" customHeight="1" x14ac:dyDescent="0.4">
      <c r="A33" s="55"/>
      <c r="B33" s="41" t="s">
        <v>730</v>
      </c>
      <c r="C33" s="43" t="s">
        <v>672</v>
      </c>
      <c r="D33" s="45" t="s">
        <v>4</v>
      </c>
      <c r="E33" s="45" t="s">
        <v>5</v>
      </c>
      <c r="F33" s="54" t="s">
        <v>673</v>
      </c>
      <c r="G33" s="45"/>
      <c r="H33" s="45" t="s">
        <v>7</v>
      </c>
      <c r="I33" s="45" t="s">
        <v>295</v>
      </c>
    </row>
    <row r="34" spans="1:9" ht="20.100000000000001" customHeight="1" x14ac:dyDescent="0.4">
      <c r="A34" s="55"/>
      <c r="B34" s="41" t="s">
        <v>731</v>
      </c>
      <c r="C34" s="43" t="s">
        <v>732</v>
      </c>
      <c r="D34" s="45" t="s">
        <v>4</v>
      </c>
      <c r="E34" s="45" t="s">
        <v>5</v>
      </c>
      <c r="F34" s="46" t="s">
        <v>733</v>
      </c>
      <c r="G34" s="45"/>
      <c r="H34" s="45" t="s">
        <v>7</v>
      </c>
      <c r="I34" s="45" t="s">
        <v>295</v>
      </c>
    </row>
    <row r="35" spans="1:9" ht="20.100000000000001" customHeight="1" x14ac:dyDescent="0.4">
      <c r="A35" s="55"/>
      <c r="B35" s="41" t="s">
        <v>734</v>
      </c>
      <c r="C35" s="43" t="s">
        <v>735</v>
      </c>
      <c r="D35" s="45" t="s">
        <v>4</v>
      </c>
      <c r="E35" s="45" t="s">
        <v>31</v>
      </c>
      <c r="F35" s="46" t="s">
        <v>736</v>
      </c>
      <c r="G35" s="45"/>
      <c r="H35" s="45" t="s">
        <v>7</v>
      </c>
      <c r="I35" s="45" t="s">
        <v>295</v>
      </c>
    </row>
    <row r="36" spans="1:9" ht="20.100000000000001" customHeight="1" x14ac:dyDescent="0.4">
      <c r="A36" s="55"/>
      <c r="B36" s="41" t="s">
        <v>737</v>
      </c>
      <c r="C36" s="43" t="s">
        <v>738</v>
      </c>
      <c r="D36" s="45" t="s">
        <v>4</v>
      </c>
      <c r="E36" s="45" t="s">
        <v>31</v>
      </c>
      <c r="F36" s="46" t="s">
        <v>739</v>
      </c>
      <c r="G36" s="45"/>
      <c r="H36" s="45" t="s">
        <v>7</v>
      </c>
      <c r="I36" s="45" t="s">
        <v>295</v>
      </c>
    </row>
    <row r="37" spans="1:9" ht="20.100000000000001" customHeight="1" x14ac:dyDescent="0.4">
      <c r="A37" s="55"/>
      <c r="B37" s="41" t="s">
        <v>740</v>
      </c>
      <c r="C37" s="43" t="s">
        <v>741</v>
      </c>
      <c r="D37" s="45" t="s">
        <v>4</v>
      </c>
      <c r="E37" s="45" t="s">
        <v>31</v>
      </c>
      <c r="F37" s="46" t="s">
        <v>742</v>
      </c>
      <c r="G37" s="45"/>
      <c r="H37" s="45" t="s">
        <v>7</v>
      </c>
      <c r="I37" s="45" t="s">
        <v>295</v>
      </c>
    </row>
    <row r="38" spans="1:9" ht="20.100000000000001" customHeight="1" x14ac:dyDescent="0.4">
      <c r="A38" s="55"/>
      <c r="B38" s="41" t="s">
        <v>743</v>
      </c>
      <c r="C38" s="43" t="s">
        <v>744</v>
      </c>
      <c r="D38" s="45" t="s">
        <v>52</v>
      </c>
      <c r="E38" s="45" t="s">
        <v>31</v>
      </c>
      <c r="F38" s="46" t="s">
        <v>745</v>
      </c>
      <c r="G38" s="45"/>
      <c r="H38" s="45" t="s">
        <v>7</v>
      </c>
      <c r="I38" s="45" t="s">
        <v>295</v>
      </c>
    </row>
    <row r="39" spans="1:9" ht="20.100000000000001" customHeight="1" x14ac:dyDescent="0.4">
      <c r="A39" s="55"/>
      <c r="B39" s="41" t="s">
        <v>746</v>
      </c>
      <c r="C39" s="43" t="s">
        <v>747</v>
      </c>
      <c r="D39" s="45" t="s">
        <v>52</v>
      </c>
      <c r="E39" s="45" t="s">
        <v>31</v>
      </c>
      <c r="F39" s="46" t="s">
        <v>748</v>
      </c>
      <c r="G39" s="45"/>
      <c r="H39" s="45" t="s">
        <v>7</v>
      </c>
      <c r="I39" s="45" t="s">
        <v>295</v>
      </c>
    </row>
    <row r="40" spans="1:9" ht="20.100000000000001" customHeight="1" x14ac:dyDescent="0.4">
      <c r="A40" s="55"/>
      <c r="B40" s="41" t="s">
        <v>749</v>
      </c>
      <c r="C40" s="43" t="s">
        <v>750</v>
      </c>
      <c r="D40" s="45" t="s">
        <v>52</v>
      </c>
      <c r="E40" s="45" t="s">
        <v>31</v>
      </c>
      <c r="F40" s="46" t="s">
        <v>751</v>
      </c>
      <c r="G40" s="45"/>
      <c r="H40" s="45" t="s">
        <v>7</v>
      </c>
      <c r="I40" s="45" t="s">
        <v>295</v>
      </c>
    </row>
    <row r="41" spans="1:9" ht="20.100000000000001" customHeight="1" x14ac:dyDescent="0.4">
      <c r="A41" s="55"/>
      <c r="B41" s="41" t="s">
        <v>752</v>
      </c>
      <c r="C41" s="43" t="s">
        <v>753</v>
      </c>
      <c r="D41" s="45" t="s">
        <v>52</v>
      </c>
      <c r="E41" s="45" t="s">
        <v>31</v>
      </c>
      <c r="F41" s="46" t="s">
        <v>754</v>
      </c>
      <c r="G41" s="45"/>
      <c r="H41" s="45" t="s">
        <v>7</v>
      </c>
      <c r="I41" s="45" t="s">
        <v>295</v>
      </c>
    </row>
    <row r="42" spans="1:9" ht="20.100000000000001" customHeight="1" x14ac:dyDescent="0.4">
      <c r="A42" s="55"/>
      <c r="B42" s="41" t="s">
        <v>755</v>
      </c>
      <c r="C42" s="43" t="s">
        <v>756</v>
      </c>
      <c r="D42" s="45" t="s">
        <v>52</v>
      </c>
      <c r="E42" s="45" t="s">
        <v>31</v>
      </c>
      <c r="F42" s="46" t="s">
        <v>847</v>
      </c>
      <c r="G42" s="45"/>
      <c r="H42" s="45" t="s">
        <v>7</v>
      </c>
      <c r="I42" s="45" t="s">
        <v>295</v>
      </c>
    </row>
    <row r="43" spans="1:9" ht="20.100000000000001" customHeight="1" x14ac:dyDescent="0.4">
      <c r="A43" s="55"/>
      <c r="B43" s="41" t="s">
        <v>757</v>
      </c>
      <c r="C43" s="43" t="s">
        <v>758</v>
      </c>
      <c r="D43" s="45" t="s">
        <v>52</v>
      </c>
      <c r="E43" s="45" t="s">
        <v>31</v>
      </c>
      <c r="F43" s="46" t="s">
        <v>759</v>
      </c>
      <c r="G43" s="45"/>
      <c r="H43" s="45" t="s">
        <v>7</v>
      </c>
      <c r="I43" s="45" t="s">
        <v>295</v>
      </c>
    </row>
    <row r="44" spans="1:9" ht="20.100000000000001" customHeight="1" x14ac:dyDescent="0.4">
      <c r="A44" s="55" t="str">
        <f>HYPERLINK("https://hp.brs.nihon-u.ac.jp/~museum/doc/archive/a-e/a-e_00503_R.png","画像")</f>
        <v>画像</v>
      </c>
      <c r="B44" s="41" t="s">
        <v>760</v>
      </c>
      <c r="C44" s="43" t="s">
        <v>761</v>
      </c>
      <c r="D44" s="45" t="s">
        <v>4</v>
      </c>
      <c r="E44" s="45" t="s">
        <v>5</v>
      </c>
      <c r="F44" s="46" t="s">
        <v>762</v>
      </c>
      <c r="G44" s="45" t="s">
        <v>268</v>
      </c>
      <c r="H44" s="45" t="s">
        <v>7</v>
      </c>
      <c r="I44" s="45" t="s">
        <v>295</v>
      </c>
    </row>
    <row r="45" spans="1:9" ht="20.100000000000001" customHeight="1" x14ac:dyDescent="0.4">
      <c r="A45" s="55" t="str">
        <f>HYPERLINK("https://hp.brs.nihon-u.ac.jp/~museum/doc/archive/a-e/a-e_00504_R.png","画像")</f>
        <v>画像</v>
      </c>
      <c r="B45" s="41" t="s">
        <v>763</v>
      </c>
      <c r="C45" s="43" t="s">
        <v>761</v>
      </c>
      <c r="D45" s="45" t="s">
        <v>4</v>
      </c>
      <c r="E45" s="45" t="s">
        <v>5</v>
      </c>
      <c r="F45" s="46" t="s">
        <v>762</v>
      </c>
      <c r="G45" s="45" t="s">
        <v>273</v>
      </c>
      <c r="H45" s="45" t="s">
        <v>7</v>
      </c>
      <c r="I45" s="45" t="s">
        <v>295</v>
      </c>
    </row>
    <row r="46" spans="1:9" ht="20.100000000000001" customHeight="1" x14ac:dyDescent="0.4">
      <c r="A46" s="55"/>
      <c r="B46" s="41" t="s">
        <v>764</v>
      </c>
      <c r="C46" s="43" t="s">
        <v>761</v>
      </c>
      <c r="D46" s="45" t="s">
        <v>4</v>
      </c>
      <c r="E46" s="45" t="s">
        <v>31</v>
      </c>
      <c r="F46" s="46" t="s">
        <v>762</v>
      </c>
      <c r="G46" s="45"/>
      <c r="H46" s="45" t="s">
        <v>7</v>
      </c>
      <c r="I46" s="45" t="s">
        <v>295</v>
      </c>
    </row>
    <row r="47" spans="1:9" ht="20.100000000000001" customHeight="1" x14ac:dyDescent="0.4">
      <c r="A47" s="55" t="str">
        <f>HYPERLINK("https://hp.brs.nihon-u.ac.jp/~museum/doc/archive/a-e/a-e_00506_R.png","画像")</f>
        <v>画像</v>
      </c>
      <c r="B47" s="41" t="s">
        <v>765</v>
      </c>
      <c r="C47" s="43" t="s">
        <v>766</v>
      </c>
      <c r="D47" s="45" t="s">
        <v>4</v>
      </c>
      <c r="E47" s="45" t="s">
        <v>5</v>
      </c>
      <c r="F47" s="46" t="s">
        <v>767</v>
      </c>
      <c r="G47" s="45"/>
      <c r="H47" s="45" t="s">
        <v>7</v>
      </c>
      <c r="I47" s="45" t="s">
        <v>295</v>
      </c>
    </row>
    <row r="48" spans="1:9" ht="20.100000000000001" customHeight="1" x14ac:dyDescent="0.4">
      <c r="A48" s="55"/>
      <c r="B48" s="41" t="s">
        <v>768</v>
      </c>
      <c r="C48" s="43" t="s">
        <v>769</v>
      </c>
      <c r="D48" s="45" t="s">
        <v>4</v>
      </c>
      <c r="E48" s="45" t="s">
        <v>5</v>
      </c>
      <c r="F48" s="46" t="s">
        <v>770</v>
      </c>
      <c r="G48" s="45"/>
      <c r="H48" s="45" t="s">
        <v>7</v>
      </c>
      <c r="I48" s="45" t="s">
        <v>295</v>
      </c>
    </row>
    <row r="49" spans="1:9" ht="20.100000000000001" customHeight="1" x14ac:dyDescent="0.4">
      <c r="A49" s="55"/>
      <c r="B49" s="41" t="s">
        <v>771</v>
      </c>
      <c r="C49" s="43" t="s">
        <v>772</v>
      </c>
      <c r="D49" s="45" t="s">
        <v>4</v>
      </c>
      <c r="E49" s="45" t="s">
        <v>5</v>
      </c>
      <c r="F49" s="46" t="s">
        <v>773</v>
      </c>
      <c r="G49" s="45"/>
      <c r="H49" s="45" t="s">
        <v>7</v>
      </c>
      <c r="I49" s="45" t="s">
        <v>295</v>
      </c>
    </row>
    <row r="50" spans="1:9" ht="20.100000000000001" customHeight="1" x14ac:dyDescent="0.4">
      <c r="A50" s="55" t="str">
        <f>HYPERLINK("https://hp.brs.nihon-u.ac.jp/~museum/doc/archive/a-e/a-e_00509_R.png","画像")</f>
        <v>画像</v>
      </c>
      <c r="B50" s="41" t="s">
        <v>774</v>
      </c>
      <c r="C50" s="43" t="s">
        <v>775</v>
      </c>
      <c r="D50" s="45" t="s">
        <v>4</v>
      </c>
      <c r="E50" s="45" t="s">
        <v>31</v>
      </c>
      <c r="F50" s="46" t="s">
        <v>776</v>
      </c>
      <c r="G50" s="45"/>
      <c r="H50" s="45" t="s">
        <v>7</v>
      </c>
      <c r="I50" s="45" t="s">
        <v>295</v>
      </c>
    </row>
    <row r="51" spans="1:9" ht="20.100000000000001" customHeight="1" x14ac:dyDescent="0.4">
      <c r="A51" s="55" t="str">
        <f>HYPERLINK("https://hp.brs.nihon-u.ac.jp/~museum/doc/archive/a-e/a-e_00510_R.png","画像")</f>
        <v>画像</v>
      </c>
      <c r="B51" s="41" t="s">
        <v>777</v>
      </c>
      <c r="C51" s="43" t="s">
        <v>778</v>
      </c>
      <c r="D51" s="45" t="s">
        <v>4</v>
      </c>
      <c r="E51" s="45" t="s">
        <v>5</v>
      </c>
      <c r="F51" s="46" t="s">
        <v>776</v>
      </c>
      <c r="G51" s="45" t="s">
        <v>268</v>
      </c>
      <c r="H51" s="45" t="s">
        <v>7</v>
      </c>
      <c r="I51" s="45" t="s">
        <v>295</v>
      </c>
    </row>
    <row r="52" spans="1:9" ht="20.100000000000001" customHeight="1" x14ac:dyDescent="0.4">
      <c r="A52" s="55"/>
      <c r="B52" s="41" t="s">
        <v>779</v>
      </c>
      <c r="C52" s="43" t="s">
        <v>780</v>
      </c>
      <c r="D52" s="45" t="s">
        <v>4</v>
      </c>
      <c r="E52" s="45" t="s">
        <v>5</v>
      </c>
      <c r="F52" s="46" t="s">
        <v>781</v>
      </c>
      <c r="G52" s="45" t="s">
        <v>273</v>
      </c>
      <c r="H52" s="45" t="s">
        <v>7</v>
      </c>
      <c r="I52" s="45" t="s">
        <v>295</v>
      </c>
    </row>
    <row r="53" spans="1:9" ht="20.100000000000001" customHeight="1" x14ac:dyDescent="0.4">
      <c r="A53" s="55"/>
      <c r="B53" s="41" t="s">
        <v>782</v>
      </c>
      <c r="C53" s="43" t="s">
        <v>783</v>
      </c>
      <c r="D53" s="45" t="s">
        <v>4</v>
      </c>
      <c r="E53" s="45" t="s">
        <v>5</v>
      </c>
      <c r="F53" s="46" t="s">
        <v>784</v>
      </c>
      <c r="G53" s="45"/>
      <c r="H53" s="45" t="s">
        <v>7</v>
      </c>
      <c r="I53" s="45" t="s">
        <v>295</v>
      </c>
    </row>
    <row r="54" spans="1:9" ht="20.100000000000001" customHeight="1" x14ac:dyDescent="0.4">
      <c r="A54" s="55" t="str">
        <f>HYPERLINK("https://hp.brs.nihon-u.ac.jp/~museum/doc/archive/a-e/a-e_00513_R.png","画像")</f>
        <v>画像</v>
      </c>
      <c r="B54" s="41" t="s">
        <v>785</v>
      </c>
      <c r="C54" s="43" t="s">
        <v>786</v>
      </c>
      <c r="D54" s="45" t="s">
        <v>4</v>
      </c>
      <c r="E54" s="45" t="s">
        <v>5</v>
      </c>
      <c r="F54" s="46" t="s">
        <v>787</v>
      </c>
      <c r="G54" s="45" t="s">
        <v>268</v>
      </c>
      <c r="H54" s="45" t="s">
        <v>7</v>
      </c>
      <c r="I54" s="45" t="s">
        <v>295</v>
      </c>
    </row>
    <row r="55" spans="1:9" ht="20.100000000000001" customHeight="1" x14ac:dyDescent="0.4">
      <c r="A55" s="55"/>
      <c r="B55" s="41" t="s">
        <v>788</v>
      </c>
      <c r="C55" s="43" t="s">
        <v>786</v>
      </c>
      <c r="D55" s="45" t="s">
        <v>4</v>
      </c>
      <c r="E55" s="45" t="s">
        <v>789</v>
      </c>
      <c r="F55" s="46" t="s">
        <v>787</v>
      </c>
      <c r="G55" s="45"/>
      <c r="H55" s="45" t="s">
        <v>7</v>
      </c>
      <c r="I55" s="45" t="s">
        <v>295</v>
      </c>
    </row>
    <row r="56" spans="1:9" ht="20.100000000000001" customHeight="1" x14ac:dyDescent="0.4">
      <c r="A56" s="55"/>
      <c r="B56" s="41" t="s">
        <v>790</v>
      </c>
      <c r="C56" s="43" t="s">
        <v>849</v>
      </c>
      <c r="D56" s="45" t="s">
        <v>791</v>
      </c>
      <c r="E56" s="45" t="s">
        <v>31</v>
      </c>
      <c r="F56" s="46" t="s">
        <v>848</v>
      </c>
      <c r="G56" s="45"/>
      <c r="H56" s="45" t="s">
        <v>7</v>
      </c>
      <c r="I56" s="45" t="s">
        <v>295</v>
      </c>
    </row>
    <row r="57" spans="1:9" ht="20.100000000000001" customHeight="1" x14ac:dyDescent="0.4">
      <c r="A57" s="55"/>
      <c r="B57" s="41" t="s">
        <v>792</v>
      </c>
      <c r="C57" s="43" t="s">
        <v>793</v>
      </c>
      <c r="D57" s="45" t="s">
        <v>791</v>
      </c>
      <c r="E57" s="45" t="s">
        <v>31</v>
      </c>
      <c r="F57" s="46" t="s">
        <v>794</v>
      </c>
      <c r="G57" s="45"/>
      <c r="H57" s="45" t="s">
        <v>7</v>
      </c>
      <c r="I57" s="45" t="s">
        <v>295</v>
      </c>
    </row>
    <row r="58" spans="1:9" ht="20.100000000000001" customHeight="1" x14ac:dyDescent="0.4">
      <c r="A58" s="55"/>
      <c r="B58" s="41" t="s">
        <v>795</v>
      </c>
      <c r="C58" s="43" t="s">
        <v>796</v>
      </c>
      <c r="D58" s="45" t="s">
        <v>791</v>
      </c>
      <c r="E58" s="45" t="s">
        <v>31</v>
      </c>
      <c r="F58" s="46" t="s">
        <v>797</v>
      </c>
      <c r="G58" s="45"/>
      <c r="H58" s="45" t="s">
        <v>7</v>
      </c>
      <c r="I58" s="45" t="s">
        <v>295</v>
      </c>
    </row>
    <row r="59" spans="1:9" ht="20.100000000000001" customHeight="1" x14ac:dyDescent="0.4">
      <c r="A59" s="55"/>
      <c r="B59" s="41" t="s">
        <v>798</v>
      </c>
      <c r="C59" s="43" t="s">
        <v>783</v>
      </c>
      <c r="D59" s="45" t="s">
        <v>791</v>
      </c>
      <c r="E59" s="45" t="s">
        <v>31</v>
      </c>
      <c r="F59" s="46" t="s">
        <v>799</v>
      </c>
      <c r="G59" s="45"/>
      <c r="H59" s="45" t="s">
        <v>7</v>
      </c>
      <c r="I59" s="45" t="s">
        <v>295</v>
      </c>
    </row>
    <row r="60" spans="1:9" ht="20.100000000000001" customHeight="1" x14ac:dyDescent="0.4">
      <c r="A60" s="55"/>
      <c r="B60" s="41" t="s">
        <v>800</v>
      </c>
      <c r="C60" s="43" t="s">
        <v>786</v>
      </c>
      <c r="D60" s="45" t="s">
        <v>791</v>
      </c>
      <c r="E60" s="45" t="s">
        <v>31</v>
      </c>
      <c r="F60" s="46" t="s">
        <v>801</v>
      </c>
      <c r="G60" s="45"/>
      <c r="H60" s="45" t="s">
        <v>7</v>
      </c>
      <c r="I60" s="45" t="s">
        <v>295</v>
      </c>
    </row>
    <row r="61" spans="1:9" ht="20.100000000000001" customHeight="1" x14ac:dyDescent="0.4">
      <c r="A61" s="55"/>
      <c r="B61" s="41" t="s">
        <v>802</v>
      </c>
      <c r="C61" s="43" t="s">
        <v>803</v>
      </c>
      <c r="D61" s="45" t="s">
        <v>791</v>
      </c>
      <c r="E61" s="45" t="s">
        <v>31</v>
      </c>
      <c r="F61" s="46" t="s">
        <v>804</v>
      </c>
      <c r="G61" s="45"/>
      <c r="H61" s="45" t="s">
        <v>7</v>
      </c>
      <c r="I61" s="45" t="s">
        <v>295</v>
      </c>
    </row>
    <row r="62" spans="1:9" ht="20.100000000000001" customHeight="1" x14ac:dyDescent="0.4">
      <c r="A62" s="55"/>
      <c r="B62" s="41" t="s">
        <v>805</v>
      </c>
      <c r="C62" s="43" t="s">
        <v>710</v>
      </c>
      <c r="D62" s="45" t="s">
        <v>4</v>
      </c>
      <c r="E62" s="45" t="s">
        <v>31</v>
      </c>
      <c r="F62" s="46" t="s">
        <v>711</v>
      </c>
      <c r="G62" s="45"/>
      <c r="H62" s="45" t="s">
        <v>7</v>
      </c>
      <c r="I62" s="45" t="s">
        <v>295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哺乳類</vt:lpstr>
      <vt:lpstr>鳥類</vt:lpstr>
      <vt:lpstr>爬虫類</vt:lpstr>
      <vt:lpstr>両生類</vt:lpstr>
      <vt:lpstr>魚類</vt:lpstr>
      <vt:lpstr>魚類!Print_Titles</vt:lpstr>
      <vt:lpstr>鳥類!Print_Titles</vt:lpstr>
      <vt:lpstr>哺乳類!Print_Titles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museum02</dc:creator>
  <cp:lastModifiedBy>museum02</cp:lastModifiedBy>
  <cp:lastPrinted>2026-03-27T07:29:54Z</cp:lastPrinted>
  <dcterms:created xsi:type="dcterms:W3CDTF">2026-03-24T04:53:53Z</dcterms:created>
  <dcterms:modified xsi:type="dcterms:W3CDTF">2026-03-31T05:56:18Z</dcterms:modified>
</cp:coreProperties>
</file>